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6" i="7" l="1"/>
  <c r="D2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47" i="3"/>
  <c r="D45" i="3"/>
  <c r="D44" i="3"/>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6" i="3" l="1"/>
  <c r="D107" i="3"/>
  <c r="D105" i="3"/>
  <c r="D103" i="3"/>
  <c r="D46"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F27" i="3"/>
  <c r="D4" i="26"/>
  <c r="G12" i="26"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10" i="20"/>
  <c r="G9" i="32"/>
  <c r="H10" i="25"/>
  <c r="H12" i="25"/>
  <c r="H14" i="25"/>
  <c r="H9" i="25"/>
  <c r="H11" i="25"/>
  <c r="H13" i="25"/>
  <c r="H9" i="33"/>
  <c r="H11" i="33"/>
  <c r="H13" i="33"/>
  <c r="H10" i="33"/>
  <c r="H12" i="33"/>
  <c r="H14" i="33"/>
  <c r="G11" i="18"/>
  <c r="G9" i="35"/>
  <c r="G11" i="22"/>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G10" i="24" l="1"/>
  <c r="G12" i="40"/>
  <c r="D4" i="14"/>
  <c r="G10" i="14" s="1"/>
  <c r="G10" i="39"/>
  <c r="D4" i="33"/>
  <c r="G11" i="33" s="1"/>
  <c r="D4" i="29"/>
  <c r="G12" i="29" s="1"/>
  <c r="G90" i="3"/>
  <c r="E107" i="3" s="1"/>
  <c r="H107" i="3" s="1"/>
  <c r="D4" i="21"/>
  <c r="G9" i="21" s="1"/>
  <c r="D4" i="12"/>
  <c r="G14" i="12" s="1"/>
  <c r="G87" i="3"/>
  <c r="E104" i="3" s="1"/>
  <c r="H104" i="3" s="1"/>
  <c r="E113" i="3" s="1"/>
  <c r="G86" i="3"/>
  <c r="E103" i="3" s="1"/>
  <c r="H103" i="3" s="1"/>
  <c r="E112" i="3" s="1"/>
  <c r="G89" i="3"/>
  <c r="E106" i="3" s="1"/>
  <c r="H106" i="3" s="1"/>
  <c r="G88" i="3"/>
  <c r="E105" i="3" s="1"/>
  <c r="H105" i="3" s="1"/>
  <c r="D4" i="27"/>
  <c r="G12" i="27" s="1"/>
  <c r="G13" i="30"/>
  <c r="G10" i="38"/>
  <c r="G12" i="32"/>
  <c r="G9" i="30"/>
  <c r="G11" i="38"/>
  <c r="G12" i="30"/>
  <c r="G10" i="19"/>
  <c r="G13" i="32"/>
  <c r="G14" i="38"/>
  <c r="G11" i="34"/>
  <c r="D4" i="36"/>
  <c r="G11" i="36" s="1"/>
  <c r="G12" i="42"/>
  <c r="G12" i="23"/>
  <c r="G14" i="34"/>
  <c r="G13" i="42"/>
  <c r="G13" i="23"/>
  <c r="G11" i="39"/>
  <c r="G11" i="26"/>
  <c r="D4" i="25"/>
  <c r="G10" i="25" s="1"/>
  <c r="D4" i="16"/>
  <c r="G12" i="16" s="1"/>
  <c r="G10" i="34"/>
  <c r="G9" i="42"/>
  <c r="G9" i="23"/>
  <c r="G14" i="39"/>
  <c r="G10" i="26"/>
  <c r="G11" i="19"/>
  <c r="G9" i="28"/>
  <c r="G14" i="19"/>
  <c r="G14" i="26"/>
  <c r="G13" i="40"/>
  <c r="G13" i="37"/>
  <c r="G12" i="28"/>
  <c r="G14" i="31"/>
  <c r="G11" i="24"/>
  <c r="G10" i="12"/>
  <c r="G9" i="40"/>
  <c r="G9" i="37"/>
  <c r="G10" i="31"/>
  <c r="G11" i="12"/>
  <c r="G12" i="37"/>
  <c r="G13" i="28"/>
  <c r="G11" i="31"/>
  <c r="G14" i="24"/>
  <c r="G9" i="12"/>
  <c r="G33" i="3" s="1"/>
  <c r="E43" i="3" s="1"/>
  <c r="H43" i="3" s="1"/>
  <c r="D112" i="3" s="1"/>
  <c r="G14" i="22"/>
  <c r="G14" i="18"/>
  <c r="G10" i="22"/>
  <c r="G12" i="35"/>
  <c r="G10" i="18"/>
  <c r="G11" i="20"/>
  <c r="G13" i="35"/>
  <c r="G14" i="20"/>
  <c r="P70" i="6"/>
  <c r="O70" i="6"/>
  <c r="N70" i="6"/>
  <c r="Q70" i="6"/>
  <c r="F70" i="6" s="1"/>
  <c r="C85" i="6" s="1"/>
  <c r="G85" i="6" s="1"/>
  <c r="C185" i="6" s="1"/>
  <c r="P157" i="6"/>
  <c r="P66" i="6"/>
  <c r="V70" i="6"/>
  <c r="U70" i="6"/>
  <c r="T70" i="6"/>
  <c r="L70" i="6"/>
  <c r="K70" i="6"/>
  <c r="G13" i="26"/>
  <c r="G9" i="26"/>
  <c r="G11" i="32"/>
  <c r="G14" i="32"/>
  <c r="G14" i="40"/>
  <c r="G10" i="40"/>
  <c r="G11" i="37"/>
  <c r="G14" i="37"/>
  <c r="G11" i="30"/>
  <c r="G14" i="30"/>
  <c r="G11" i="28"/>
  <c r="G14" i="28"/>
  <c r="G12" i="38"/>
  <c r="G13" i="38"/>
  <c r="G12" i="31"/>
  <c r="G13" i="31"/>
  <c r="G12" i="19"/>
  <c r="G13" i="19"/>
  <c r="G12" i="24"/>
  <c r="G13" i="24"/>
  <c r="G13" i="29"/>
  <c r="G13" i="34"/>
  <c r="G9" i="34"/>
  <c r="G13" i="22"/>
  <c r="G9" i="22"/>
  <c r="G14" i="42"/>
  <c r="G10" i="42"/>
  <c r="G14" i="35"/>
  <c r="G10" i="35"/>
  <c r="G14" i="23"/>
  <c r="G10" i="23"/>
  <c r="G13" i="18"/>
  <c r="G9" i="18"/>
  <c r="G13" i="20"/>
  <c r="G9" i="20"/>
  <c r="G10" i="33"/>
  <c r="G13" i="39"/>
  <c r="G9" i="39"/>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G11" i="14" l="1"/>
  <c r="G12" i="14"/>
  <c r="G13" i="14"/>
  <c r="G14" i="29"/>
  <c r="G13" i="36"/>
  <c r="G9" i="14"/>
  <c r="G11" i="27"/>
  <c r="G13" i="27"/>
  <c r="G14" i="14"/>
  <c r="G14" i="27"/>
  <c r="G13" i="12"/>
  <c r="G13" i="33"/>
  <c r="G12" i="33"/>
  <c r="F112" i="3"/>
  <c r="G112" i="3" s="1"/>
  <c r="G14" i="33"/>
  <c r="G9" i="33"/>
  <c r="G12" i="12"/>
  <c r="G35" i="3" s="1"/>
  <c r="E45" i="3" s="1"/>
  <c r="H45" i="3" s="1"/>
  <c r="G11" i="21"/>
  <c r="G14" i="21"/>
  <c r="G13" i="21"/>
  <c r="G34" i="3"/>
  <c r="E44" i="3" s="1"/>
  <c r="H44" i="3" s="1"/>
  <c r="D113" i="3" s="1"/>
  <c r="F113" i="3" s="1"/>
  <c r="G113" i="3" s="1"/>
  <c r="G9" i="29"/>
  <c r="G11" i="29"/>
  <c r="G10" i="29"/>
  <c r="G12" i="21"/>
  <c r="G36" i="3"/>
  <c r="E46" i="3" s="1"/>
  <c r="H46" i="3" s="1"/>
  <c r="G10" i="21"/>
  <c r="G37" i="3"/>
  <c r="E47" i="3" s="1"/>
  <c r="H47" i="3" s="1"/>
  <c r="G13" i="25"/>
  <c r="G9" i="25"/>
  <c r="G12" i="25"/>
  <c r="G9" i="27"/>
  <c r="G10" i="27"/>
  <c r="G11" i="25"/>
  <c r="G14" i="25"/>
  <c r="G13" i="16"/>
  <c r="G11" i="16"/>
  <c r="G9" i="16"/>
  <c r="G10" i="36"/>
  <c r="G12" i="36"/>
  <c r="G9" i="36"/>
  <c r="G10" i="16"/>
  <c r="G14" i="36"/>
  <c r="G14" i="16"/>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<sst xmlns="http://schemas.openxmlformats.org/spreadsheetml/2006/main" count="1225" uniqueCount="432">
  <si>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</si>
  <si>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</si>
  <si>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</si>
  <si>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</si>
  <si>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</si>
  <si>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</si>
  <si>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</si>
  <si>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</si>
  <si>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</si>
  <si>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</si>
  <si>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</si>
  <si>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</si>
  <si>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</si>
  <si>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</si>
  <si>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</si>
  <si>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</si>
  <si>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</si>
  <si>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</si>
  <si>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</si>
  <si>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</si>
  <si>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</si>
  <si>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</si>
  <si>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</si>
  <si>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</si>
  <si>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</si>
  <si>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</si>
  <si>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</si>
  <si>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</si>
  <si>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</si>
  <si>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</si>
  <si>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</si>
  <si>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</si>
  <si>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</si>
  <si>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</si>
  <si>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</si>
  <si>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</si>
  <si>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</si>
  <si>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</si>
  <si>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</si>
  <si>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</si>
  <si>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</si>
  <si>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</si>
  <si>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</si>
  <si>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</si>
  <si>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</si>
  <si>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</si>
  <si>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</si>
  <si>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</si>
  <si>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</si>
  <si>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</si>
  <si>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</si>
  <si>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</si>
  <si>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</si>
  <si>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</si>
  <si>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</si>
  <si>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</si>
  <si>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</si>
  <si>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</si>
  <si>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</si>
  <si>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</si>
  <si>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</si>
  <si>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</si>
  <si>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</si>
  <si>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</si>
  <si>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</si>
  <si>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</si>
  <si>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</si>
  <si>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</si>
  <si>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</si>
  <si>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</si>
  <si>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</si>
  <si>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</si>
  <si>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</si>
  <si>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</si>
  <si>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</si>
  <si>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</si>
  <si>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</si>
  <si>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</si>
  <si>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</si>
  <si>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</si>
  <si>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</si>
  <si>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</si>
  <si>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</si>
  <si>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</si>
  <si>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</si>
  <si>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</si>
  <si>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</si>
  <si>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</si>
  <si>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</si>
  <si>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</si>
  <si>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</si>
  <si>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</si>
  <si>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</si>
  <si>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</si>
  <si>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</si>
  <si>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</si>
  <si>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</si>
  <si>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</si>
  <si>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</si>
  <si>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</si>
  <si>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</si>
  <si>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</si>
  <si>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</si>
  <si>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</si>
  <si>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</si>
  <si>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</si>
  <si>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</si>
  <si>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</si>
  <si>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</si>
  <si>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</si>
  <si>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</si>
  <si>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</si>
  <si>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</si>
  <si>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</si>
  <si>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</si>
  <si>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</si>
  <si>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</si>
  <si>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</si>
  <si>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</si>
  <si>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</si>
  <si>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</si>
  <si>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</si>
  <si>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</si>
  <si>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</si>
  <si>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</si>
  <si>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</si>
  <si>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</si>
  <si>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</si>
  <si>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</si>
  <si>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</si>
  <si>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</si>
  <si>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</si>
  <si>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</si>
  <si>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</si>
  <si>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</si>
  <si>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</si>
  <si>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</si>
  <si>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</si>
  <si>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</si>
  <si>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</si>
  <si>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</si>
  <si>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</si>
  <si>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</si>
  <si>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</si>
  <si>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</si>
  <si>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</si>
  <si>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</si>
  <si>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</si>
  <si>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</si>
  <si>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</si>
  <si>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</si>
  <si>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</si>
  <si>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</si>
  <si>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</si>
  <si>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</si>
  <si>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</si>
  <si>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</si>
  <si>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</si>
  <si>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</si>
  <si>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</si>
  <si>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</si>
  <si>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</si>
  <si>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</si>
  <si>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</si>
  <si>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</si>
  <si>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</si>
  <si>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</si>
  <si>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</si>
  <si>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</si>
  <si>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</si>
  <si>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</si>
  <si>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</si>
  <si>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</si>
  <si>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</si>
  <si>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</si>
  <si>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</si>
  <si>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</si>
  <si>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</si>
  <si>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</si>
  <si>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</si>
  <si>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</si>
  <si>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</si>
  <si>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</si>
  <si>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</si>
  <si>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</si>
  <si>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</si>
  <si>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</si>
  <si>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</si>
  <si>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</si>
  <si>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</si>
  <si>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</si>
  <si>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</si>
  <si>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</si>
  <si>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</si>
  <si>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</si>
  <si>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</si>
  <si>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</si>
  <si>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</si>
  <si>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</si>
  <si>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</si>
  <si>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</si>
  <si>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</si>
  <si>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</si>
  <si>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</si>
  <si>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</si>
  <si>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</si>
  <si>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</si>
  <si>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</si>
  <si>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</si>
  <si>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</si>
  <si>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</si>
  <si>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</si>
  <si>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</si>
  <si>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</si>
  <si>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</si>
  <si>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</si>
  <si>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</si>
  <si>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</si>
  <si>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</si>
  <si>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</si>
  <si>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</si>
  <si>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</si>
  <si>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</si>
  <si>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</si>
  <si>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</si>
  <si>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</si>
  <si>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</si>
  <si>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</si>
  <si>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</si>
  <si>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</si>
  <si>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</si>
  <si>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</si>
  <si>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</si>
  <si>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</si>
  <si>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</si>
  <si>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</si>
  <si>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</si>
  <si>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</si>
  <si>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</si>
  <si>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</si>
  <si>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</si>
  <si>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</si>
  <si>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</si>
  <si>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</si>
  <si>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</si>
  <si>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</si>
  <si>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</si>
  <si>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</si>
  <si>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</si>
  <si>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</si>
  <si>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</si>
  <si>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</si>
  <si>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</si>
  <si>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</si>
  <si>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</si>
  <si>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</si>
  <si>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</si>
  <si>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</si>
  <si>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</si>
  <si>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</si>
  <si>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</si>
  <si>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</si>
  <si>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</si>
  <si>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</si>
  <si>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</si>
  <si>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</si>
  <si>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</si>
  <si>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</si>
  <si>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</si>
  <si>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</si>
  <si>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</si>
  <si>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</si>
  <si>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</si>
  <si>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</si>
  <si>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</si>
  <si>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</si>
  <si>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</si>
  <si>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</si>
  <si>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</si>
  <si>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</si>
  <si>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</si>
  <si>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</si>
  <si>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</si>
  <si>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</si>
  <si>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</si>
  <si>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</si>
  <si>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</si>
  <si>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</si>
  <si>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</si>
  <si>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</si>
  <si>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</si>
  <si>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</si>
  <si>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</si>
  <si>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</si>
  <si>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</si>
  <si>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</si>
  <si>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</si>
  <si>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</si>
  <si>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</si>
  <si>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</si>
  <si>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</si>
  <si>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</si>
  <si>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</si>
  <si>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</si>
  <si>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</si>
  <si>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</si>
  <si>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</si>
  <si>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</si>
  <si>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</si>
  <si>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</si>
  <si>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</si>
  <si>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</si>
  <si>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</si>
  <si>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</si>
  <si>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</si>
  <si>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</si>
  <si>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</si>
  <si>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</si>
  <si>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</si>
  <si>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</si>
  <si>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</si>
  <si>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</si>
  <si>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</si>
  <si>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</si>
  <si>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</si>
  <si>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</si>
  <si>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</si>
  <si>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</si>
  <si>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</si>
  <si>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</si>
  <si>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</si>
  <si>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</si>
  <si>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</si>
  <si>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</si>
  <si>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</si>
  <si>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</si>
  <si>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</si>
  <si>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</si>
  <si>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</si>
  <si>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</si>
  <si>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</si>
  <si>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</si>
  <si>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</si>
  <si>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</si>
  <si>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</si>
  <si>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</si>
  <si>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</si>
  <si>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</si>
  <si>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</si>
  <si>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</si>
  <si>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</si>
  <si>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</si>
  <si>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</si>
  <si>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</si>
  <si>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</si>
  <si>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</si>
  <si>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</si>
  <si>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</si>
  <si>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</si>
  <si>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</si>
  <si>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</si>
  <si>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</si>
  <si>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</si>
  <si>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</si>
  <si>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</si>
  <si>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</si>
  <si>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</si>
  <si>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</si>
  <si>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</si>
  <si>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</si>
  <si>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</si>
  <si>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</si>
  <si>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</si>
  <si>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</si>
  <si>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</si>
  <si>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</si>
  <si>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</si>
  <si>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</si>
  <si>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</si>
  <si>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</si>
  <si>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</si>
  <si>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</si>
  <si>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</si>
  <si>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</si>
  <si>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</si>
  <si>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</si>
  <si>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</si>
  <si>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</si>
  <si>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</si>
  <si>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</si>
  <si>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</si>
  <si>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</si>
  <si>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</si>
  <si>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</si>
  <si>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</si>
  <si>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</si>
  <si>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</si>
  <si>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</si>
  <si>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</si>
  <si>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</si>
  <si>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</si>
  <si>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</si>
  <si>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</si>
  <si>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</si>
  <si>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</si>
  <si>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</si>
  <si>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</si>
  <si>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</si>
  <si>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</si>
  <si>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</si>
  <si>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</si>
  <si>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</si>
  <si>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</si>
  <si>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</si>
  <si>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</si>
  <si>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</si>
  <si>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</si>
  <si>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</si>
  <si>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</si>
  <si>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#20</t>
  </si>
  <si>
    <t>Runoff from the existing watershed sheet flows through a large wooded area along U.S. Route 20 and flows overland and across the interstate to an outfall ditch.</t>
  </si>
  <si>
    <t xml:space="preserve">The proposed construction within the watershed includes pavement addition and drainage reconstruction. The proposed construction results in an increase in impervious area as a result of the addition of traffic lanes on I-20 and drains to Outfall #20. </t>
  </si>
  <si>
    <t>The increased flows are a result of the proposed addition of pavement and will drain to Outfall #20.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</si>
  <si>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#20 is approximately 16 acres. The existing watershed includes, grassed areas, paved areas, and wooded areas adjacent to U.S. Route 20. The soils in the watershed are classified as Hydrologic Soil Group A.</t>
  </si>
  <si>
    <t>Outfall #17 [Lt.] Sta.547+00 (I-20)</t>
  </si>
  <si>
    <t>The widening will take place from U.S. Route 378 to Longs Pond Road which is approximately 14 miles. The existing watersheds along the interstate are primarily developed areas along with large wooded areas. The total drainage area to Outfall #17 is approximately 16 acres. The existing watershed includes, grassed areas, paved areas, and wooded areas adjacent to I-20.</t>
  </si>
  <si>
    <t>Runoff from the existing watershed flows overland to a crossing at approx. Sta. 547+00 along I-20 and discharges into an outfall ditch.</t>
  </si>
  <si>
    <t xml:space="preserve">The proposed construction within the watershed includes pavement addition. The proposed construction results in an increase in impervious area as a result of the addition of traffic lanes on I-20 and drains to Outfall #17. </t>
  </si>
  <si>
    <t>9/1/2015</t>
  </si>
  <si>
    <t>Sta. 547+00</t>
  </si>
  <si>
    <t xml:space="preserve">The additional 1.05 cfs runoff for the 10-year design storm will be collected by an existing closed drainage system and conveyed to the outfall.  The additional pavement will have no significant adverse effect downstream of the outfall.  No additional detention is necessary in this area.  </t>
  </si>
  <si>
    <t>Outfall ditch</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</si>
</sst>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9">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7481600"/>
        <c:axId val="155693440"/>
      </c:scatterChart>
      <c:valAx>
        <c:axId val="1574816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693440"/>
        <c:crosses val="autoZero"/>
        <c:crossBetween val="midCat"/>
      </c:valAx>
      <c:valAx>
        <c:axId val="15569344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4816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55755648"/>
        <c:axId val="155757568"/>
      </c:scatterChart>
      <c:valAx>
        <c:axId val="15575564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757568"/>
        <c:crosses val="autoZero"/>
        <c:crossBetween val="midCat"/>
      </c:valAx>
      <c:valAx>
        <c:axId val="1557575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575564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6532736"/>
        <c:axId val="156534656"/>
      </c:scatterChart>
      <c:valAx>
        <c:axId val="15653273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6534656"/>
        <c:crosses val="autoZero"/>
        <c:crossBetween val="midCat"/>
      </c:valAx>
      <c:valAx>
        <c:axId val="1565346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653273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7357568"/>
        <c:axId val="157359488"/>
      </c:scatterChart>
      <c:valAx>
        <c:axId val="1573575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359488"/>
        <c:crosses val="autoZero"/>
        <c:crossBetween val="midCat"/>
      </c:valAx>
      <c:valAx>
        <c:axId val="15735948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3575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1.9539903121812574</v>
      </c>
      <c r="H9" s="9">
        <f t="shared" ref="H9:H14" si="1">B9/(C9+$D$5)^D9</f>
        <v>1.9539903121812574</v>
      </c>
      <c r="J9" s="29"/>
      <c r="K9" s="29"/>
      <c r="L9" s="30"/>
    </row>
    <row r="10" spans="1:12" x14ac:dyDescent="0.2">
      <c r="A10" s="31">
        <v>5</v>
      </c>
      <c r="B10" s="34">
        <v>261.13655</v>
      </c>
      <c r="C10" s="30">
        <v>32.358699999999999</v>
      </c>
      <c r="D10" s="30">
        <v>1.01519</v>
      </c>
      <c r="E10" s="29"/>
      <c r="F10" s="29"/>
      <c r="G10" s="9">
        <f t="shared" si="0"/>
        <v>2.1969172397504799</v>
      </c>
      <c r="H10" s="9">
        <f t="shared" si="1"/>
        <v>2.1969172397504799</v>
      </c>
      <c r="J10" s="29"/>
      <c r="K10" s="29"/>
      <c r="L10" s="30"/>
    </row>
    <row r="11" spans="1:12" x14ac:dyDescent="0.2">
      <c r="A11" s="31">
        <v>10</v>
      </c>
      <c r="B11" s="34">
        <v>269.52906000000002</v>
      </c>
      <c r="C11" s="30">
        <v>31.104620000000001</v>
      </c>
      <c r="D11" s="30">
        <v>1.0071399999999999</v>
      </c>
      <c r="E11" s="29"/>
      <c r="F11" s="29"/>
      <c r="G11" s="35">
        <f t="shared" si="0"/>
        <v>2.3822694950603647</v>
      </c>
      <c r="H11" s="118">
        <f t="shared" si="1"/>
        <v>2.3822694950603647</v>
      </c>
      <c r="J11" s="29"/>
      <c r="K11" s="29"/>
      <c r="L11" s="30"/>
    </row>
    <row r="12" spans="1:12" x14ac:dyDescent="0.2">
      <c r="A12" s="31">
        <v>25</v>
      </c>
      <c r="B12" s="34">
        <v>281.11392999999998</v>
      </c>
      <c r="C12" s="30">
        <v>29.392219999999998</v>
      </c>
      <c r="D12" s="30">
        <v>0.99607000000000001</v>
      </c>
      <c r="E12" s="29"/>
      <c r="F12" s="29"/>
      <c r="G12" s="9">
        <f t="shared" si="0"/>
        <v>2.6586679163533158</v>
      </c>
      <c r="H12" s="9">
        <f t="shared" si="1"/>
        <v>2.6586679163533158</v>
      </c>
      <c r="J12" s="29"/>
      <c r="K12" s="29"/>
      <c r="L12" s="30"/>
    </row>
    <row r="13" spans="1:12" x14ac:dyDescent="0.2">
      <c r="A13" s="31">
        <v>50</v>
      </c>
      <c r="B13" s="34">
        <v>289.29525999999998</v>
      </c>
      <c r="C13" s="30">
        <v>28.173349999999999</v>
      </c>
      <c r="D13" s="30">
        <v>0.98823000000000005</v>
      </c>
      <c r="E13" s="29"/>
      <c r="F13" s="29"/>
      <c r="G13" s="9">
        <f t="shared" si="0"/>
        <v>2.8703874801682487</v>
      </c>
      <c r="H13" s="9">
        <f t="shared" si="1"/>
        <v>2.8703874801682487</v>
      </c>
    </row>
    <row r="14" spans="1:12" x14ac:dyDescent="0.2">
      <c r="A14" s="31">
        <v>100</v>
      </c>
      <c r="B14" s="34">
        <v>296.80041999999997</v>
      </c>
      <c r="C14" s="30">
        <v>27.025970000000001</v>
      </c>
      <c r="D14" s="30">
        <v>0.98097000000000001</v>
      </c>
      <c r="E14" s="29"/>
      <c r="F14" s="29"/>
      <c r="G14" s="9">
        <f t="shared" si="0"/>
        <v>3.0789123436054</v>
      </c>
      <c r="H14" s="9">
        <f t="shared" si="1"/>
        <v>3.0789123436054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1.8415414727482837</v>
      </c>
      <c r="H9" s="9">
        <f t="shared" ref="H9:H14" si="1">B9/(C9+$D$5)^D9</f>
        <v>1.8415414727482837</v>
      </c>
      <c r="J9" s="29"/>
      <c r="K9" s="29"/>
      <c r="L9" s="30"/>
    </row>
    <row r="10" spans="1:12" x14ac:dyDescent="0.2">
      <c r="A10" s="31">
        <v>5</v>
      </c>
      <c r="B10" s="34">
        <v>257.07785999999999</v>
      </c>
      <c r="C10" s="30">
        <v>32.97428</v>
      </c>
      <c r="D10" s="30">
        <v>1.01911</v>
      </c>
      <c r="E10" s="29"/>
      <c r="F10" s="29"/>
      <c r="G10" s="9">
        <f t="shared" si="0"/>
        <v>2.1112664787178463</v>
      </c>
      <c r="H10" s="9">
        <f t="shared" si="1"/>
        <v>2.1112664787178463</v>
      </c>
      <c r="J10" s="29"/>
      <c r="K10" s="29"/>
      <c r="L10" s="30"/>
    </row>
    <row r="11" spans="1:12" x14ac:dyDescent="0.2">
      <c r="A11" s="31">
        <v>10</v>
      </c>
      <c r="B11" s="34">
        <v>266.55779000000001</v>
      </c>
      <c r="C11" s="30">
        <v>31.546500000000002</v>
      </c>
      <c r="D11" s="30">
        <v>1.0099800000000001</v>
      </c>
      <c r="E11" s="29"/>
      <c r="F11" s="29"/>
      <c r="G11" s="35">
        <f t="shared" si="0"/>
        <v>2.3153561452019011</v>
      </c>
      <c r="H11" s="118">
        <f t="shared" si="1"/>
        <v>2.3153561452019011</v>
      </c>
      <c r="J11" s="29"/>
      <c r="K11" s="29"/>
      <c r="L11" s="30"/>
    </row>
    <row r="12" spans="1:12" x14ac:dyDescent="0.2">
      <c r="A12" s="31">
        <v>25</v>
      </c>
      <c r="B12" s="34">
        <v>278.96244000000002</v>
      </c>
      <c r="C12" s="30">
        <v>29.710239999999999</v>
      </c>
      <c r="D12" s="30">
        <v>0.99812999999999996</v>
      </c>
      <c r="E12" s="29"/>
      <c r="F12" s="29"/>
      <c r="G12" s="9">
        <f t="shared" si="0"/>
        <v>2.6053313941763534</v>
      </c>
      <c r="H12" s="9">
        <f t="shared" si="1"/>
        <v>2.6053313941763534</v>
      </c>
      <c r="J12" s="29"/>
      <c r="K12" s="29"/>
      <c r="L12" s="30"/>
    </row>
    <row r="13" spans="1:12" x14ac:dyDescent="0.2">
      <c r="A13" s="31">
        <v>50</v>
      </c>
      <c r="B13" s="34">
        <v>287.88720999999998</v>
      </c>
      <c r="C13" s="30">
        <v>28.385120000000001</v>
      </c>
      <c r="D13" s="30">
        <v>0.98958999999999997</v>
      </c>
      <c r="E13" s="29"/>
      <c r="F13" s="29"/>
      <c r="G13" s="9">
        <f t="shared" si="0"/>
        <v>2.8327653174767762</v>
      </c>
      <c r="H13" s="9">
        <f t="shared" si="1"/>
        <v>2.8327653174767762</v>
      </c>
    </row>
    <row r="14" spans="1:12" x14ac:dyDescent="0.2">
      <c r="A14" s="31">
        <v>100</v>
      </c>
      <c r="B14" s="34">
        <v>295.79777999999999</v>
      </c>
      <c r="C14" s="30">
        <v>27.182759999999998</v>
      </c>
      <c r="D14" s="30">
        <v>0.98194999999999999</v>
      </c>
      <c r="E14" s="29"/>
      <c r="F14" s="29"/>
      <c r="G14" s="9">
        <f t="shared" si="0"/>
        <v>3.0500804346124037</v>
      </c>
      <c r="H14" s="9">
        <f t="shared" si="1"/>
        <v>3.0500804346124037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2.0073636047062524</v>
      </c>
      <c r="H9" s="9">
        <f t="shared" ref="H9:H14" si="1">B9/(C9+$D$5)^D9</f>
        <v>2.0073636047062524</v>
      </c>
      <c r="J9" s="29"/>
      <c r="K9" s="29"/>
      <c r="L9" s="30"/>
    </row>
    <row r="10" spans="1:12" x14ac:dyDescent="0.2">
      <c r="A10" s="31">
        <v>5</v>
      </c>
      <c r="B10" s="34">
        <v>262.87945999999999</v>
      </c>
      <c r="C10" s="30">
        <v>32.09639</v>
      </c>
      <c r="D10" s="30">
        <v>1.0135099999999999</v>
      </c>
      <c r="E10" s="29"/>
      <c r="F10" s="29"/>
      <c r="G10" s="9">
        <f t="shared" si="0"/>
        <v>2.2345042572253071</v>
      </c>
      <c r="H10" s="9">
        <f t="shared" si="1"/>
        <v>2.2345042572253071</v>
      </c>
      <c r="J10" s="29"/>
      <c r="K10" s="29"/>
      <c r="L10" s="30"/>
    </row>
    <row r="11" spans="1:12" x14ac:dyDescent="0.2">
      <c r="A11" s="31">
        <v>10</v>
      </c>
      <c r="B11" s="34">
        <v>270.85088000000002</v>
      </c>
      <c r="C11" s="30">
        <v>30.90869</v>
      </c>
      <c r="D11" s="30">
        <v>1.00587</v>
      </c>
      <c r="E11" s="29"/>
      <c r="F11" s="29"/>
      <c r="G11" s="35">
        <f t="shared" si="0"/>
        <v>2.4126156598232646</v>
      </c>
      <c r="H11" s="118">
        <f t="shared" si="1"/>
        <v>2.4126156598232646</v>
      </c>
      <c r="J11" s="29"/>
      <c r="K11" s="29"/>
      <c r="L11" s="30"/>
    </row>
    <row r="12" spans="1:12" x14ac:dyDescent="0.2">
      <c r="A12" s="31">
        <v>25</v>
      </c>
      <c r="B12" s="34">
        <v>282.02145000000002</v>
      </c>
      <c r="C12" s="30">
        <v>29.25788</v>
      </c>
      <c r="D12" s="30">
        <v>0.99519999999999997</v>
      </c>
      <c r="E12" s="29"/>
      <c r="F12" s="29"/>
      <c r="G12" s="9">
        <f t="shared" si="0"/>
        <v>2.6814602048317933</v>
      </c>
      <c r="H12" s="9">
        <f t="shared" si="1"/>
        <v>2.6814602048317933</v>
      </c>
      <c r="J12" s="29"/>
      <c r="K12" s="29"/>
      <c r="L12" s="30"/>
    </row>
    <row r="13" spans="1:12" x14ac:dyDescent="0.2">
      <c r="A13" s="31">
        <v>50</v>
      </c>
      <c r="B13" s="34">
        <v>289.91899000000001</v>
      </c>
      <c r="C13" s="30">
        <v>28.07921</v>
      </c>
      <c r="D13" s="30">
        <v>0.98763000000000001</v>
      </c>
      <c r="E13" s="29"/>
      <c r="F13" s="29"/>
      <c r="G13" s="9">
        <f t="shared" si="0"/>
        <v>2.8871650832343421</v>
      </c>
      <c r="H13" s="9">
        <f t="shared" si="1"/>
        <v>2.8871650832343421</v>
      </c>
    </row>
    <row r="14" spans="1:12" x14ac:dyDescent="0.2">
      <c r="A14" s="31">
        <v>100</v>
      </c>
      <c r="B14" s="34">
        <v>297.13936999999999</v>
      </c>
      <c r="C14" s="30">
        <v>26.972190000000001</v>
      </c>
      <c r="D14" s="30">
        <v>0.98063999999999996</v>
      </c>
      <c r="E14" s="29"/>
      <c r="F14" s="29"/>
      <c r="G14" s="9">
        <f t="shared" si="0"/>
        <v>3.0887158761048092</v>
      </c>
      <c r="H14" s="9">
        <f t="shared" si="1"/>
        <v>3.0887158761048092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1.8935289731802925</v>
      </c>
      <c r="H9" s="9">
        <f t="shared" ref="H9:H14" si="1">B9/(C9+$D$5)^D9</f>
        <v>1.8935289731802925</v>
      </c>
      <c r="J9" s="29"/>
      <c r="K9" s="29"/>
      <c r="L9" s="30"/>
    </row>
    <row r="10" spans="1:12" x14ac:dyDescent="0.2">
      <c r="A10" s="31">
        <v>5</v>
      </c>
      <c r="B10" s="34">
        <v>261.15915999999999</v>
      </c>
      <c r="C10" s="30">
        <v>32.355730000000001</v>
      </c>
      <c r="D10" s="30">
        <v>1.0151699999999999</v>
      </c>
      <c r="E10" s="29"/>
      <c r="F10" s="29"/>
      <c r="G10" s="9">
        <f t="shared" si="0"/>
        <v>2.1973741467106227</v>
      </c>
      <c r="H10" s="9">
        <f t="shared" si="1"/>
        <v>2.1973741467106227</v>
      </c>
      <c r="J10" s="29"/>
      <c r="K10" s="29"/>
      <c r="L10" s="30"/>
    </row>
    <row r="11" spans="1:12" x14ac:dyDescent="0.2">
      <c r="A11" s="31">
        <v>10</v>
      </c>
      <c r="B11" s="34">
        <v>270.24815000000001</v>
      </c>
      <c r="C11" s="30">
        <v>30.998100000000001</v>
      </c>
      <c r="D11" s="30">
        <v>1.0064500000000001</v>
      </c>
      <c r="E11" s="29"/>
      <c r="F11" s="29"/>
      <c r="G11" s="35">
        <f t="shared" si="0"/>
        <v>2.3987264812371167</v>
      </c>
      <c r="H11" s="118">
        <f t="shared" si="1"/>
        <v>2.3987264812371167</v>
      </c>
      <c r="J11" s="29"/>
      <c r="K11" s="29"/>
      <c r="L11" s="30"/>
    </row>
    <row r="12" spans="1:12" x14ac:dyDescent="0.2">
      <c r="A12" s="31">
        <v>25</v>
      </c>
      <c r="B12" s="34">
        <v>281.57326999999998</v>
      </c>
      <c r="C12" s="30">
        <v>29.324300000000001</v>
      </c>
      <c r="D12" s="30">
        <v>0.99563000000000001</v>
      </c>
      <c r="E12" s="29"/>
      <c r="F12" s="29"/>
      <c r="G12" s="9">
        <f t="shared" si="0"/>
        <v>2.6701773176167727</v>
      </c>
      <c r="H12" s="9">
        <f t="shared" si="1"/>
        <v>2.6701773176167727</v>
      </c>
      <c r="J12" s="29"/>
      <c r="K12" s="29"/>
      <c r="L12" s="30"/>
    </row>
    <row r="13" spans="1:12" x14ac:dyDescent="0.2">
      <c r="A13" s="31">
        <v>50</v>
      </c>
      <c r="B13" s="34">
        <v>289.32177999999999</v>
      </c>
      <c r="C13" s="30">
        <v>28.169709999999998</v>
      </c>
      <c r="D13" s="30">
        <v>0.98821000000000003</v>
      </c>
      <c r="E13" s="29"/>
      <c r="F13" s="29"/>
      <c r="G13" s="9">
        <f t="shared" si="0"/>
        <v>2.8710156142243912</v>
      </c>
      <c r="H13" s="9">
        <f t="shared" si="1"/>
        <v>2.8710156142243912</v>
      </c>
    </row>
    <row r="14" spans="1:12" x14ac:dyDescent="0.2">
      <c r="A14" s="31">
        <v>100</v>
      </c>
      <c r="B14" s="34">
        <v>296.25407000000001</v>
      </c>
      <c r="C14" s="30">
        <v>27.111529999999998</v>
      </c>
      <c r="D14" s="30">
        <v>0.98150000000000004</v>
      </c>
      <c r="E14" s="29"/>
      <c r="F14" s="29"/>
      <c r="G14" s="9">
        <f t="shared" si="0"/>
        <v>3.0632262525759444</v>
      </c>
      <c r="H14" s="9">
        <f t="shared" si="1"/>
        <v>3.0632262525759444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1.9439854197703199</v>
      </c>
      <c r="H9" s="9">
        <f t="shared" ref="H9:H14" si="1">B9/(C9+$D$5)^D9</f>
        <v>1.9439854197703199</v>
      </c>
      <c r="J9" s="29"/>
      <c r="K9" s="29"/>
      <c r="L9" s="30"/>
    </row>
    <row r="10" spans="1:12" x14ac:dyDescent="0.2">
      <c r="A10" s="31">
        <v>5</v>
      </c>
      <c r="B10" s="34">
        <v>263.71406000000002</v>
      </c>
      <c r="C10" s="30">
        <v>31.971609999999998</v>
      </c>
      <c r="D10" s="30">
        <v>1.01271</v>
      </c>
      <c r="E10" s="29"/>
      <c r="F10" s="29"/>
      <c r="G10" s="9">
        <f t="shared" si="0"/>
        <v>2.2526284954398199</v>
      </c>
      <c r="H10" s="9">
        <f t="shared" si="1"/>
        <v>2.2526284954398199</v>
      </c>
      <c r="J10" s="29"/>
      <c r="K10" s="29"/>
      <c r="L10" s="30"/>
    </row>
    <row r="11" spans="1:12" x14ac:dyDescent="0.2">
      <c r="A11" s="31">
        <v>10</v>
      </c>
      <c r="B11" s="34">
        <v>272.73104999999998</v>
      </c>
      <c r="C11" s="30">
        <v>30.63053</v>
      </c>
      <c r="D11" s="30">
        <v>1.0040800000000001</v>
      </c>
      <c r="E11" s="29"/>
      <c r="F11" s="29"/>
      <c r="G11" s="35">
        <f t="shared" si="0"/>
        <v>2.4561395621228912</v>
      </c>
      <c r="H11" s="118">
        <f t="shared" si="1"/>
        <v>2.4561395621228912</v>
      </c>
      <c r="J11" s="29"/>
      <c r="K11" s="29"/>
      <c r="L11" s="30"/>
    </row>
    <row r="12" spans="1:12" x14ac:dyDescent="0.2">
      <c r="A12" s="31">
        <v>25</v>
      </c>
      <c r="B12" s="34">
        <v>284.08978999999999</v>
      </c>
      <c r="C12" s="30">
        <v>28.951280000000001</v>
      </c>
      <c r="D12" s="30">
        <v>0.99322999999999995</v>
      </c>
      <c r="E12" s="29"/>
      <c r="F12" s="29"/>
      <c r="G12" s="9">
        <f t="shared" si="0"/>
        <v>2.7338741238581066</v>
      </c>
      <c r="H12" s="9">
        <f t="shared" si="1"/>
        <v>2.7338741238581066</v>
      </c>
      <c r="J12" s="29"/>
      <c r="K12" s="29"/>
      <c r="L12" s="30"/>
    </row>
    <row r="13" spans="1:12" x14ac:dyDescent="0.2">
      <c r="A13" s="31">
        <v>50</v>
      </c>
      <c r="B13" s="34">
        <v>291.79401000000001</v>
      </c>
      <c r="C13" s="30">
        <v>27.79608</v>
      </c>
      <c r="D13" s="30">
        <v>0.98582999999999998</v>
      </c>
      <c r="E13" s="29"/>
      <c r="F13" s="29"/>
      <c r="G13" s="9">
        <f t="shared" si="0"/>
        <v>2.9380600853783596</v>
      </c>
      <c r="H13" s="9">
        <f t="shared" si="1"/>
        <v>2.9380600853783596</v>
      </c>
    </row>
    <row r="14" spans="1:12" x14ac:dyDescent="0.2">
      <c r="A14" s="31">
        <v>100</v>
      </c>
      <c r="B14" s="34">
        <v>298.59854000000001</v>
      </c>
      <c r="C14" s="30">
        <v>26.744620000000001</v>
      </c>
      <c r="D14" s="30">
        <v>0.97921000000000002</v>
      </c>
      <c r="E14" s="29"/>
      <c r="F14" s="29"/>
      <c r="G14" s="9">
        <f t="shared" si="0"/>
        <v>3.1312492570178474</v>
      </c>
      <c r="H14" s="9">
        <f t="shared" si="1"/>
        <v>3.1312492570178474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1.8582673685204685</v>
      </c>
      <c r="H9" s="9">
        <f t="shared" ref="H9:H14" si="1">B9/(C9+$D$5)^D9</f>
        <v>1.8582673685204685</v>
      </c>
      <c r="J9" s="29"/>
      <c r="K9" s="29"/>
      <c r="L9" s="30"/>
    </row>
    <row r="10" spans="1:12" x14ac:dyDescent="0.2">
      <c r="A10" s="31">
        <v>5</v>
      </c>
      <c r="B10" s="34">
        <v>258.50572</v>
      </c>
      <c r="C10" s="30">
        <v>32.756839999999997</v>
      </c>
      <c r="D10" s="30">
        <v>1.01773</v>
      </c>
      <c r="E10" s="29"/>
      <c r="F10" s="29"/>
      <c r="G10" s="9">
        <f t="shared" si="0"/>
        <v>2.1411006750024817</v>
      </c>
      <c r="H10" s="9">
        <f t="shared" si="1"/>
        <v>2.1411006750024817</v>
      </c>
      <c r="J10" s="29"/>
      <c r="K10" s="29"/>
      <c r="L10" s="30"/>
    </row>
    <row r="11" spans="1:12" x14ac:dyDescent="0.2">
      <c r="A11" s="31">
        <v>10</v>
      </c>
      <c r="B11" s="34">
        <v>267.54246999999998</v>
      </c>
      <c r="C11" s="30">
        <v>31.39986</v>
      </c>
      <c r="D11" s="30">
        <v>1.0090399999999999</v>
      </c>
      <c r="E11" s="29"/>
      <c r="F11" s="29"/>
      <c r="G11" s="35">
        <f t="shared" si="0"/>
        <v>2.337345331684936</v>
      </c>
      <c r="H11" s="118">
        <f t="shared" si="1"/>
        <v>2.337345331684936</v>
      </c>
      <c r="J11" s="29"/>
      <c r="K11" s="29"/>
      <c r="L11" s="30"/>
    </row>
    <row r="12" spans="1:12" x14ac:dyDescent="0.2">
      <c r="A12" s="31">
        <v>25</v>
      </c>
      <c r="B12" s="34">
        <v>279.77346</v>
      </c>
      <c r="C12" s="30">
        <v>29.590430000000001</v>
      </c>
      <c r="D12" s="30">
        <v>0.99734999999999996</v>
      </c>
      <c r="E12" s="29"/>
      <c r="F12" s="29"/>
      <c r="G12" s="9">
        <f t="shared" si="0"/>
        <v>2.6253703689782788</v>
      </c>
      <c r="H12" s="9">
        <f t="shared" si="1"/>
        <v>2.6253703689782788</v>
      </c>
      <c r="J12" s="29"/>
      <c r="K12" s="29"/>
      <c r="L12" s="30"/>
    </row>
    <row r="13" spans="1:12" x14ac:dyDescent="0.2">
      <c r="A13" s="31">
        <v>50</v>
      </c>
      <c r="B13" s="34">
        <v>288.71309000000002</v>
      </c>
      <c r="C13" s="30">
        <v>28.26125</v>
      </c>
      <c r="D13" s="30">
        <v>0.98878999999999995</v>
      </c>
      <c r="E13" s="29"/>
      <c r="F13" s="29"/>
      <c r="G13" s="9">
        <f t="shared" si="0"/>
        <v>2.8548024727130867</v>
      </c>
      <c r="H13" s="9">
        <f t="shared" si="1"/>
        <v>2.8548024727130867</v>
      </c>
    </row>
    <row r="14" spans="1:12" x14ac:dyDescent="0.2">
      <c r="A14" s="31">
        <v>100</v>
      </c>
      <c r="B14" s="34">
        <v>296.66217</v>
      </c>
      <c r="C14" s="30">
        <v>27.048590000000001</v>
      </c>
      <c r="D14" s="30">
        <v>0.98111000000000004</v>
      </c>
      <c r="E14" s="29"/>
      <c r="F14" s="29"/>
      <c r="G14" s="9">
        <f t="shared" si="0"/>
        <v>3.0748244872516648</v>
      </c>
      <c r="H14" s="9">
        <f t="shared" si="1"/>
        <v>3.0748244872516648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1.8893961370393744</v>
      </c>
      <c r="H9" s="9">
        <f t="shared" ref="H9:H14" si="1">B9/(C9+$D$5)^D9</f>
        <v>1.8893961370393744</v>
      </c>
      <c r="J9" s="29"/>
      <c r="K9" s="29"/>
      <c r="L9" s="30"/>
    </row>
    <row r="10" spans="1:12" x14ac:dyDescent="0.2">
      <c r="A10" s="31">
        <v>5</v>
      </c>
      <c r="B10" s="34">
        <v>259.11354999999998</v>
      </c>
      <c r="C10" s="30">
        <v>32.664630000000002</v>
      </c>
      <c r="D10" s="30">
        <v>1.0171399999999999</v>
      </c>
      <c r="E10" s="29"/>
      <c r="F10" s="29"/>
      <c r="G10" s="9">
        <f t="shared" si="0"/>
        <v>2.1539263435655092</v>
      </c>
      <c r="H10" s="9">
        <f t="shared" si="1"/>
        <v>2.1539263435655092</v>
      </c>
      <c r="J10" s="29"/>
      <c r="K10" s="29"/>
      <c r="L10" s="30"/>
    </row>
    <row r="11" spans="1:12" x14ac:dyDescent="0.2">
      <c r="A11" s="31">
        <v>10</v>
      </c>
      <c r="B11" s="34">
        <v>267.80932999999999</v>
      </c>
      <c r="C11" s="30">
        <v>31.36009</v>
      </c>
      <c r="D11" s="30">
        <v>1.00878</v>
      </c>
      <c r="E11" s="29"/>
      <c r="F11" s="29"/>
      <c r="G11" s="35">
        <f t="shared" si="0"/>
        <v>2.34339318323957</v>
      </c>
      <c r="H11" s="118">
        <f t="shared" si="1"/>
        <v>2.34339318323957</v>
      </c>
      <c r="J11" s="29"/>
      <c r="K11" s="29"/>
      <c r="L11" s="30"/>
    </row>
    <row r="12" spans="1:12" x14ac:dyDescent="0.2">
      <c r="A12" s="31">
        <v>25</v>
      </c>
      <c r="B12" s="34">
        <v>280.16379000000001</v>
      </c>
      <c r="C12" s="30">
        <v>29.53274</v>
      </c>
      <c r="D12" s="30">
        <v>0.99697999999999998</v>
      </c>
      <c r="E12" s="29"/>
      <c r="F12" s="29"/>
      <c r="G12" s="9">
        <f t="shared" si="0"/>
        <v>2.634995339727658</v>
      </c>
      <c r="H12" s="9">
        <f t="shared" si="1"/>
        <v>2.634995339727658</v>
      </c>
      <c r="J12" s="29"/>
      <c r="K12" s="29"/>
      <c r="L12" s="30"/>
    </row>
    <row r="13" spans="1:12" x14ac:dyDescent="0.2">
      <c r="A13" s="31">
        <v>50</v>
      </c>
      <c r="B13" s="34">
        <v>288.48608999999999</v>
      </c>
      <c r="C13" s="30">
        <v>28.29513</v>
      </c>
      <c r="D13" s="30">
        <v>0.98900999999999994</v>
      </c>
      <c r="E13" s="29"/>
      <c r="F13" s="29"/>
      <c r="G13" s="9">
        <f t="shared" si="0"/>
        <v>2.8487337245190814</v>
      </c>
      <c r="H13" s="9">
        <f t="shared" si="1"/>
        <v>2.8487337245190814</v>
      </c>
    </row>
    <row r="14" spans="1:12" x14ac:dyDescent="0.2">
      <c r="A14" s="31">
        <v>100</v>
      </c>
      <c r="B14" s="34">
        <v>296.13357000000002</v>
      </c>
      <c r="C14" s="30">
        <v>27.129909999999999</v>
      </c>
      <c r="D14" s="30">
        <v>0.98162000000000005</v>
      </c>
      <c r="E14" s="29"/>
      <c r="F14" s="29"/>
      <c r="G14" s="9">
        <f t="shared" si="0"/>
        <v>3.0597456040461917</v>
      </c>
      <c r="H14" s="9">
        <f t="shared" si="1"/>
        <v>3.0597456040461917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1.7413841798182406</v>
      </c>
      <c r="H9" s="9">
        <f t="shared" ref="H9:H14" si="1">B9/(C9+$D$5)^D9</f>
        <v>1.7413841798182406</v>
      </c>
      <c r="J9" s="29"/>
      <c r="K9" s="29"/>
      <c r="L9" s="30"/>
    </row>
    <row r="10" spans="1:12" x14ac:dyDescent="0.2">
      <c r="A10" s="31">
        <v>5</v>
      </c>
      <c r="B10" s="34">
        <v>253.07857999999999</v>
      </c>
      <c r="C10" s="30">
        <v>33.587960000000002</v>
      </c>
      <c r="D10" s="30">
        <v>1.0229900000000001</v>
      </c>
      <c r="E10" s="29"/>
      <c r="F10" s="29"/>
      <c r="G10" s="9">
        <f t="shared" si="0"/>
        <v>2.0293189552716049</v>
      </c>
      <c r="H10" s="9">
        <f t="shared" si="1"/>
        <v>2.0293189552716049</v>
      </c>
      <c r="J10" s="29"/>
      <c r="K10" s="29"/>
      <c r="L10" s="30"/>
    </row>
    <row r="11" spans="1:12" x14ac:dyDescent="0.2">
      <c r="A11" s="31">
        <v>10</v>
      </c>
      <c r="B11" s="34">
        <v>263.15904</v>
      </c>
      <c r="C11" s="30">
        <v>32.0548</v>
      </c>
      <c r="D11" s="30">
        <v>1.0132399999999999</v>
      </c>
      <c r="E11" s="29"/>
      <c r="F11" s="29"/>
      <c r="G11" s="35">
        <f t="shared" si="0"/>
        <v>2.2405788500768464</v>
      </c>
      <c r="H11" s="118">
        <f t="shared" si="1"/>
        <v>2.2405788500768464</v>
      </c>
      <c r="J11" s="29"/>
      <c r="K11" s="29"/>
      <c r="L11" s="30"/>
    </row>
    <row r="12" spans="1:12" x14ac:dyDescent="0.2">
      <c r="A12" s="31">
        <v>25</v>
      </c>
      <c r="B12" s="34">
        <v>276.21251999999998</v>
      </c>
      <c r="C12" s="30">
        <v>30.116250000000001</v>
      </c>
      <c r="D12" s="30">
        <v>1.00075</v>
      </c>
      <c r="E12" s="29"/>
      <c r="F12" s="29"/>
      <c r="G12" s="9">
        <f t="shared" si="0"/>
        <v>2.5386467435434108</v>
      </c>
      <c r="H12" s="9">
        <f t="shared" si="1"/>
        <v>2.5386467435434108</v>
      </c>
      <c r="J12" s="29"/>
      <c r="K12" s="29"/>
      <c r="L12" s="30"/>
    </row>
    <row r="13" spans="1:12" x14ac:dyDescent="0.2">
      <c r="A13" s="31">
        <v>50</v>
      </c>
      <c r="B13" s="34">
        <v>285.40821999999997</v>
      </c>
      <c r="C13" s="30">
        <v>28.755269999999999</v>
      </c>
      <c r="D13" s="30">
        <v>0.99195999999999995</v>
      </c>
      <c r="E13" s="29"/>
      <c r="F13" s="29"/>
      <c r="G13" s="9">
        <f t="shared" si="0"/>
        <v>2.767935789988933</v>
      </c>
      <c r="H13" s="9">
        <f t="shared" si="1"/>
        <v>2.767935789988933</v>
      </c>
    </row>
    <row r="14" spans="1:12" x14ac:dyDescent="0.2">
      <c r="A14" s="31">
        <v>100</v>
      </c>
      <c r="B14" s="34">
        <v>293.62644</v>
      </c>
      <c r="C14" s="30">
        <v>27.51709</v>
      </c>
      <c r="D14" s="30">
        <v>0.98404999999999998</v>
      </c>
      <c r="E14" s="29"/>
      <c r="F14" s="29"/>
      <c r="G14" s="9">
        <f t="shared" si="0"/>
        <v>2.9888937232873252</v>
      </c>
      <c r="H14" s="9">
        <f t="shared" si="1"/>
        <v>2.9888937232873252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1.9630588644764311</v>
      </c>
      <c r="H9" s="9">
        <f t="shared" ref="H9:H14" si="1">B9/(C9+$D$5)^D9</f>
        <v>1.9630588644764311</v>
      </c>
      <c r="J9" s="29"/>
      <c r="K9" s="29"/>
      <c r="L9" s="30"/>
    </row>
    <row r="10" spans="1:12" x14ac:dyDescent="0.2">
      <c r="A10" s="31">
        <v>5</v>
      </c>
      <c r="B10" s="34">
        <v>261.38427999999999</v>
      </c>
      <c r="C10" s="30">
        <v>32.321309999999997</v>
      </c>
      <c r="D10" s="30">
        <v>1.01495</v>
      </c>
      <c r="E10" s="29"/>
      <c r="F10" s="29"/>
      <c r="G10" s="9">
        <f t="shared" si="0"/>
        <v>2.2022418685096747</v>
      </c>
      <c r="H10" s="9">
        <f t="shared" si="1"/>
        <v>2.2022418685096747</v>
      </c>
      <c r="J10" s="29"/>
      <c r="K10" s="29"/>
      <c r="L10" s="30"/>
    </row>
    <row r="11" spans="1:12" x14ac:dyDescent="0.2">
      <c r="A11" s="31">
        <v>10</v>
      </c>
      <c r="B11" s="34">
        <v>269.34521000000001</v>
      </c>
      <c r="C11" s="30">
        <v>31.131879999999999</v>
      </c>
      <c r="D11" s="30">
        <v>1.0073099999999999</v>
      </c>
      <c r="E11" s="29"/>
      <c r="F11" s="29"/>
      <c r="G11" s="35">
        <f t="shared" si="0"/>
        <v>2.3781482580642579</v>
      </c>
      <c r="H11" s="118">
        <f t="shared" si="1"/>
        <v>2.3781482580642579</v>
      </c>
      <c r="J11" s="29"/>
      <c r="K11" s="29"/>
      <c r="L11" s="30"/>
    </row>
    <row r="12" spans="1:12" x14ac:dyDescent="0.2">
      <c r="A12" s="31">
        <v>25</v>
      </c>
      <c r="B12" s="34">
        <v>288.87468000000001</v>
      </c>
      <c r="C12" s="30">
        <v>29.410900000000002</v>
      </c>
      <c r="D12" s="30">
        <v>0.99619000000000002</v>
      </c>
      <c r="E12" s="29"/>
      <c r="F12" s="29"/>
      <c r="G12" s="9">
        <f t="shared" si="0"/>
        <v>2.7300607198756723</v>
      </c>
      <c r="H12" s="9">
        <f t="shared" si="1"/>
        <v>2.7300607198756723</v>
      </c>
      <c r="J12" s="29"/>
      <c r="K12" s="29"/>
      <c r="L12" s="30"/>
    </row>
    <row r="13" spans="1:12" x14ac:dyDescent="0.2">
      <c r="A13" s="31">
        <v>50</v>
      </c>
      <c r="B13" s="34">
        <v>288.87468000000001</v>
      </c>
      <c r="C13" s="30">
        <v>28.236509999999999</v>
      </c>
      <c r="D13" s="30">
        <v>0.98863999999999996</v>
      </c>
      <c r="E13" s="29"/>
      <c r="F13" s="29"/>
      <c r="G13" s="9">
        <f t="shared" si="0"/>
        <v>2.8590575674832319</v>
      </c>
      <c r="H13" s="9">
        <f t="shared" si="1"/>
        <v>2.8590575674832319</v>
      </c>
    </row>
    <row r="14" spans="1:12" x14ac:dyDescent="0.2">
      <c r="A14" s="31">
        <v>100</v>
      </c>
      <c r="B14" s="34">
        <v>296.40785</v>
      </c>
      <c r="C14" s="30">
        <v>27.086500000000001</v>
      </c>
      <c r="D14" s="30">
        <v>0.98134999999999994</v>
      </c>
      <c r="E14" s="29"/>
      <c r="F14" s="29"/>
      <c r="G14" s="9">
        <f t="shared" si="0"/>
        <v>3.0676732173372296</v>
      </c>
      <c r="H14" s="9">
        <f t="shared" si="1"/>
        <v>3.0676732173372296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1.7385139087576809</v>
      </c>
      <c r="H9" s="9">
        <f t="shared" ref="H9:H14" si="1">B9/(C9+$D$5)^D9</f>
        <v>1.7385139087576809</v>
      </c>
      <c r="J9" s="29"/>
      <c r="K9" s="29"/>
      <c r="L9" s="30"/>
    </row>
    <row r="10" spans="1:12" x14ac:dyDescent="0.2">
      <c r="A10" s="31">
        <v>5</v>
      </c>
      <c r="B10" s="34">
        <v>253.76636999999999</v>
      </c>
      <c r="C10" s="30">
        <v>33.481679999999997</v>
      </c>
      <c r="D10" s="30">
        <v>1.0223199999999999</v>
      </c>
      <c r="E10" s="29"/>
      <c r="F10" s="29"/>
      <c r="G10" s="9">
        <f t="shared" si="0"/>
        <v>2.0432598649626099</v>
      </c>
      <c r="H10" s="9">
        <f t="shared" si="1"/>
        <v>2.0432598649626099</v>
      </c>
      <c r="J10" s="29"/>
      <c r="K10" s="29"/>
      <c r="L10" s="30"/>
    </row>
    <row r="11" spans="1:12" x14ac:dyDescent="0.2">
      <c r="A11" s="31">
        <v>10</v>
      </c>
      <c r="B11" s="34">
        <v>263.78131000000002</v>
      </c>
      <c r="C11" s="30">
        <v>31.96134</v>
      </c>
      <c r="D11" s="30">
        <v>1.0126500000000001</v>
      </c>
      <c r="E11" s="29"/>
      <c r="F11" s="29"/>
      <c r="G11" s="35">
        <f t="shared" si="0"/>
        <v>2.2540514118734438</v>
      </c>
      <c r="H11" s="118">
        <f t="shared" si="1"/>
        <v>2.2540514118734438</v>
      </c>
      <c r="J11" s="29"/>
      <c r="K11" s="29"/>
      <c r="L11" s="30"/>
    </row>
    <row r="12" spans="1:12" x14ac:dyDescent="0.2">
      <c r="A12" s="31">
        <v>25</v>
      </c>
      <c r="B12" s="34">
        <v>277.32452000000001</v>
      </c>
      <c r="C12" s="30">
        <v>29.952089999999998</v>
      </c>
      <c r="D12" s="30">
        <v>0.99968999999999997</v>
      </c>
      <c r="E12" s="29"/>
      <c r="F12" s="29"/>
      <c r="G12" s="9">
        <f t="shared" si="0"/>
        <v>2.5654423541189448</v>
      </c>
      <c r="H12" s="9">
        <f t="shared" si="1"/>
        <v>2.5654423541189448</v>
      </c>
      <c r="J12" s="29"/>
      <c r="K12" s="29"/>
      <c r="L12" s="30"/>
    </row>
    <row r="13" spans="1:12" x14ac:dyDescent="0.2">
      <c r="A13" s="31">
        <v>50</v>
      </c>
      <c r="B13" s="34">
        <v>286.37653999999998</v>
      </c>
      <c r="C13" s="30">
        <v>28.610849999999999</v>
      </c>
      <c r="D13" s="30">
        <v>0.99104000000000003</v>
      </c>
      <c r="E13" s="29"/>
      <c r="F13" s="29"/>
      <c r="G13" s="9">
        <f t="shared" si="0"/>
        <v>2.7930275423514268</v>
      </c>
      <c r="H13" s="9">
        <f t="shared" si="1"/>
        <v>2.7930275423514268</v>
      </c>
    </row>
    <row r="14" spans="1:12" x14ac:dyDescent="0.2">
      <c r="A14" s="31">
        <v>100</v>
      </c>
      <c r="B14" s="34">
        <v>294.97888999999998</v>
      </c>
      <c r="C14" s="30">
        <v>27.308869999999999</v>
      </c>
      <c r="D14" s="30">
        <v>0.98273999999999995</v>
      </c>
      <c r="E14" s="29"/>
      <c r="F14" s="29"/>
      <c r="G14" s="9">
        <f t="shared" si="0"/>
        <v>3.0269068716067329</v>
      </c>
      <c r="H14" s="9">
        <f t="shared" si="1"/>
        <v>3.0269068716067329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1.7664928265049824</v>
      </c>
      <c r="H9" s="9">
        <f t="shared" ref="H9:H14" si="1">B9/(C9+$D$5)^D9</f>
        <v>1.7664928265049824</v>
      </c>
      <c r="J9" s="29"/>
      <c r="K9" s="29"/>
      <c r="L9" s="30"/>
    </row>
    <row r="10" spans="1:12" x14ac:dyDescent="0.2">
      <c r="A10" s="31">
        <v>5</v>
      </c>
      <c r="B10" s="34">
        <v>254.57509999999999</v>
      </c>
      <c r="C10" s="30">
        <v>33.357579999999999</v>
      </c>
      <c r="D10" s="30">
        <v>1.0215399999999999</v>
      </c>
      <c r="E10" s="29"/>
      <c r="F10" s="29"/>
      <c r="G10" s="9">
        <f t="shared" si="0"/>
        <v>2.0596621825702881</v>
      </c>
      <c r="H10" s="9">
        <f t="shared" si="1"/>
        <v>2.0596621825702881</v>
      </c>
      <c r="J10" s="29"/>
      <c r="K10" s="29"/>
      <c r="L10" s="30"/>
    </row>
    <row r="11" spans="1:12" x14ac:dyDescent="0.2">
      <c r="A11" s="31">
        <v>10</v>
      </c>
      <c r="B11" s="34">
        <v>265.33812</v>
      </c>
      <c r="C11" s="30">
        <v>31.728549999999998</v>
      </c>
      <c r="D11" s="30">
        <v>1.01115</v>
      </c>
      <c r="E11" s="29"/>
      <c r="F11" s="29"/>
      <c r="G11" s="35">
        <f t="shared" si="0"/>
        <v>2.2882906039612214</v>
      </c>
      <c r="H11" s="118">
        <f t="shared" si="1"/>
        <v>2.2882906039612214</v>
      </c>
      <c r="J11" s="29"/>
      <c r="K11" s="29"/>
      <c r="L11" s="30"/>
    </row>
    <row r="12" spans="1:12" x14ac:dyDescent="0.2">
      <c r="A12" s="31">
        <v>25</v>
      </c>
      <c r="B12" s="34">
        <v>278.27661000000001</v>
      </c>
      <c r="C12" s="30">
        <v>29.811530000000001</v>
      </c>
      <c r="D12" s="30">
        <v>0.99878</v>
      </c>
      <c r="E12" s="29"/>
      <c r="F12" s="29"/>
      <c r="G12" s="9">
        <f t="shared" si="0"/>
        <v>2.5886039624237598</v>
      </c>
      <c r="H12" s="9">
        <f t="shared" si="1"/>
        <v>2.5886039624237598</v>
      </c>
      <c r="J12" s="29"/>
      <c r="K12" s="29"/>
      <c r="L12" s="30"/>
    </row>
    <row r="13" spans="1:12" x14ac:dyDescent="0.2">
      <c r="A13" s="31">
        <v>50</v>
      </c>
      <c r="B13" s="34">
        <v>287.58051</v>
      </c>
      <c r="C13" s="30">
        <v>28.431000000000001</v>
      </c>
      <c r="D13" s="30">
        <v>0.98987999999999998</v>
      </c>
      <c r="E13" s="29"/>
      <c r="F13" s="29"/>
      <c r="G13" s="9">
        <f t="shared" si="0"/>
        <v>2.8247153449391931</v>
      </c>
      <c r="H13" s="9">
        <f t="shared" si="1"/>
        <v>2.8247153449391931</v>
      </c>
    </row>
    <row r="14" spans="1:12" x14ac:dyDescent="0.2">
      <c r="A14" s="31">
        <v>100</v>
      </c>
      <c r="B14" s="34">
        <v>296.11192</v>
      </c>
      <c r="C14" s="30">
        <v>27.133880000000001</v>
      </c>
      <c r="D14" s="30">
        <v>0.98163999999999996</v>
      </c>
      <c r="E14" s="29"/>
      <c r="F14" s="29"/>
      <c r="G14" s="9">
        <f t="shared" si="0"/>
        <v>3.0591238198843467</v>
      </c>
      <c r="H14" s="9">
        <f t="shared" si="1"/>
        <v>3.0591238198843467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2.0203659884721019</v>
      </c>
      <c r="H9" s="9">
        <f t="shared" ref="H9:H14" si="1">B9/(C9+$D$5)^D9</f>
        <v>2.0203659884721019</v>
      </c>
      <c r="J9" s="29"/>
      <c r="K9" s="29"/>
      <c r="L9" s="30"/>
    </row>
    <row r="10" spans="1:12" x14ac:dyDescent="0.2">
      <c r="A10" s="31">
        <v>5</v>
      </c>
      <c r="B10" s="34">
        <v>263.35487999999998</v>
      </c>
      <c r="C10" s="30">
        <v>32.025089999999999</v>
      </c>
      <c r="D10" s="30">
        <v>1.0130600000000001</v>
      </c>
      <c r="E10" s="29"/>
      <c r="F10" s="29"/>
      <c r="G10" s="9">
        <f t="shared" si="0"/>
        <v>2.2447577228854509</v>
      </c>
      <c r="H10" s="9">
        <f t="shared" si="1"/>
        <v>2.2447577228854509</v>
      </c>
      <c r="J10" s="29"/>
      <c r="K10" s="29"/>
      <c r="L10" s="30"/>
    </row>
    <row r="11" spans="1:12" x14ac:dyDescent="0.2">
      <c r="A11" s="31">
        <v>10</v>
      </c>
      <c r="B11" s="34">
        <v>271.20123999999998</v>
      </c>
      <c r="C11" s="30">
        <v>30.856809999999999</v>
      </c>
      <c r="D11" s="30">
        <v>1.0055400000000001</v>
      </c>
      <c r="E11" s="29"/>
      <c r="F11" s="29"/>
      <c r="G11" s="35">
        <f t="shared" si="0"/>
        <v>2.4206371251350824</v>
      </c>
      <c r="H11" s="118">
        <f t="shared" si="1"/>
        <v>2.4206371251350824</v>
      </c>
      <c r="J11" s="29"/>
      <c r="K11" s="29"/>
      <c r="L11" s="30"/>
    </row>
    <row r="12" spans="1:12" x14ac:dyDescent="0.2">
      <c r="A12" s="31">
        <v>25</v>
      </c>
      <c r="B12" s="34">
        <v>282.27166999999997</v>
      </c>
      <c r="C12" s="30">
        <v>29.22082</v>
      </c>
      <c r="D12" s="30">
        <v>0.99494000000000005</v>
      </c>
      <c r="E12" s="29"/>
      <c r="F12" s="29"/>
      <c r="G12" s="9">
        <f t="shared" si="0"/>
        <v>2.6880270900020795</v>
      </c>
      <c r="H12" s="9">
        <f t="shared" si="1"/>
        <v>2.6880270900020795</v>
      </c>
      <c r="J12" s="29"/>
      <c r="K12" s="29"/>
      <c r="L12" s="30"/>
    </row>
    <row r="13" spans="1:12" x14ac:dyDescent="0.2">
      <c r="A13" s="31">
        <v>50</v>
      </c>
      <c r="B13" s="34">
        <v>290.40814</v>
      </c>
      <c r="C13" s="30">
        <v>28.005379999999999</v>
      </c>
      <c r="D13" s="30">
        <v>0.98716000000000004</v>
      </c>
      <c r="E13" s="29"/>
      <c r="F13" s="29"/>
      <c r="G13" s="9">
        <f t="shared" si="0"/>
        <v>2.9003739935585147</v>
      </c>
      <c r="H13" s="9">
        <f t="shared" si="1"/>
        <v>2.9003739935585147</v>
      </c>
    </row>
    <row r="14" spans="1:12" x14ac:dyDescent="0.2">
      <c r="A14" s="31">
        <v>100</v>
      </c>
      <c r="B14" s="34">
        <v>297.47764999999998</v>
      </c>
      <c r="C14" s="30">
        <v>26.91919</v>
      </c>
      <c r="D14" s="30">
        <v>0.98031000000000001</v>
      </c>
      <c r="E14" s="29"/>
      <c r="F14" s="29"/>
      <c r="G14" s="9">
        <f t="shared" si="0"/>
        <v>3.0985168451224374</v>
      </c>
      <c r="H14" s="9">
        <f t="shared" si="1"/>
        <v>3.0985168451224374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1.7790529695085235</v>
      </c>
      <c r="H9" s="9">
        <f t="shared" ref="H9:H14" si="1">B9/(C9+$D$5)^D9</f>
        <v>1.7790529695085235</v>
      </c>
      <c r="J9" s="29"/>
      <c r="K9" s="29"/>
      <c r="L9" s="30"/>
    </row>
    <row r="10" spans="1:12" x14ac:dyDescent="0.2">
      <c r="A10" s="31">
        <v>5</v>
      </c>
      <c r="B10" s="34">
        <v>255.19143</v>
      </c>
      <c r="C10" s="30">
        <v>33.262779999999999</v>
      </c>
      <c r="D10" s="30">
        <v>1.02094</v>
      </c>
      <c r="E10" s="29"/>
      <c r="F10" s="29"/>
      <c r="G10" s="9">
        <f t="shared" si="0"/>
        <v>2.0722945877309504</v>
      </c>
      <c r="H10" s="9">
        <f t="shared" si="1"/>
        <v>2.0722945877309504</v>
      </c>
      <c r="J10" s="29"/>
      <c r="K10" s="29"/>
      <c r="L10" s="30"/>
    </row>
    <row r="11" spans="1:12" x14ac:dyDescent="0.2">
      <c r="A11" s="31">
        <v>10</v>
      </c>
      <c r="B11" s="34">
        <v>265.20096000000001</v>
      </c>
      <c r="C11" s="30">
        <v>31.748999999999999</v>
      </c>
      <c r="D11" s="30">
        <v>1.01128</v>
      </c>
      <c r="E11" s="29"/>
      <c r="F11" s="29"/>
      <c r="G11" s="35">
        <f t="shared" si="0"/>
        <v>2.2852809829824419</v>
      </c>
      <c r="H11" s="118">
        <f t="shared" si="1"/>
        <v>2.2852809829824419</v>
      </c>
      <c r="J11" s="29"/>
      <c r="K11" s="29"/>
      <c r="L11" s="30"/>
    </row>
    <row r="12" spans="1:12" x14ac:dyDescent="0.2">
      <c r="A12" s="31">
        <v>25</v>
      </c>
      <c r="B12" s="34">
        <v>278.49725000000001</v>
      </c>
      <c r="C12" s="30">
        <v>29.778949999999998</v>
      </c>
      <c r="D12" s="30">
        <v>0.99856999999999996</v>
      </c>
      <c r="E12" s="29"/>
      <c r="F12" s="29"/>
      <c r="G12" s="9">
        <f t="shared" si="0"/>
        <v>2.5939860695852377</v>
      </c>
      <c r="H12" s="9">
        <f t="shared" si="1"/>
        <v>2.5939860695852377</v>
      </c>
      <c r="J12" s="29"/>
      <c r="K12" s="29"/>
      <c r="L12" s="30"/>
    </row>
    <row r="13" spans="1:12" x14ac:dyDescent="0.2">
      <c r="A13" s="31">
        <v>50</v>
      </c>
      <c r="B13" s="34">
        <v>287.80007000000001</v>
      </c>
      <c r="C13" s="30">
        <v>28.398219999999998</v>
      </c>
      <c r="D13" s="30">
        <v>0.98967000000000005</v>
      </c>
      <c r="E13" s="29"/>
      <c r="F13" s="29"/>
      <c r="G13" s="9">
        <f t="shared" si="0"/>
        <v>2.8305061317890088</v>
      </c>
      <c r="H13" s="9">
        <f t="shared" si="1"/>
        <v>2.8305061317890088</v>
      </c>
    </row>
    <row r="14" spans="1:12" x14ac:dyDescent="0.2">
      <c r="A14" s="31">
        <v>100</v>
      </c>
      <c r="B14" s="34">
        <v>295.94022000000001</v>
      </c>
      <c r="C14" s="30">
        <v>27.160820000000001</v>
      </c>
      <c r="D14" s="30">
        <v>0.98180999999999996</v>
      </c>
      <c r="E14" s="29"/>
      <c r="F14" s="29"/>
      <c r="G14" s="9">
        <f t="shared" si="0"/>
        <v>3.05416373602529</v>
      </c>
      <c r="H14" s="9">
        <f t="shared" si="1"/>
        <v>3.05416373602529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1.8402119803655543</v>
      </c>
      <c r="H9" s="9">
        <f t="shared" ref="H9:H14" si="1">B9/(C9+$D$5)^D9</f>
        <v>1.8402119803655543</v>
      </c>
      <c r="J9" s="29"/>
      <c r="K9" s="29"/>
      <c r="L9" s="30"/>
    </row>
    <row r="10" spans="1:12" x14ac:dyDescent="0.2">
      <c r="A10" s="31">
        <v>5</v>
      </c>
      <c r="B10" s="34">
        <v>257.20585</v>
      </c>
      <c r="C10" s="30">
        <v>32.954790000000003</v>
      </c>
      <c r="D10" s="30">
        <v>1.01898</v>
      </c>
      <c r="E10" s="29"/>
      <c r="F10" s="29"/>
      <c r="G10" s="9">
        <f t="shared" si="0"/>
        <v>2.1139892145139525</v>
      </c>
      <c r="H10" s="9">
        <f t="shared" si="1"/>
        <v>2.1139892145139525</v>
      </c>
      <c r="J10" s="29"/>
      <c r="K10" s="29"/>
      <c r="L10" s="30"/>
    </row>
    <row r="11" spans="1:12" x14ac:dyDescent="0.2">
      <c r="A11" s="31">
        <v>10</v>
      </c>
      <c r="B11" s="34">
        <v>266.59332999999998</v>
      </c>
      <c r="C11" s="30">
        <v>31.54121</v>
      </c>
      <c r="D11" s="30">
        <v>1.0099499999999999</v>
      </c>
      <c r="E11" s="29"/>
      <c r="F11" s="29"/>
      <c r="G11" s="35">
        <f t="shared" si="0"/>
        <v>2.3161039654313686</v>
      </c>
      <c r="H11" s="118">
        <f t="shared" si="1"/>
        <v>2.3161039654313686</v>
      </c>
      <c r="J11" s="29"/>
      <c r="K11" s="29"/>
      <c r="L11" s="30"/>
    </row>
    <row r="12" spans="1:12" x14ac:dyDescent="0.2">
      <c r="A12" s="31">
        <v>25</v>
      </c>
      <c r="B12" s="34">
        <v>279.10068000000001</v>
      </c>
      <c r="C12" s="30">
        <v>29.689830000000001</v>
      </c>
      <c r="D12" s="30">
        <v>0.99799000000000004</v>
      </c>
      <c r="E12" s="29"/>
      <c r="F12" s="29"/>
      <c r="G12" s="9">
        <f t="shared" si="0"/>
        <v>2.6088236750718075</v>
      </c>
      <c r="H12" s="9">
        <f t="shared" si="1"/>
        <v>2.6088236750718075</v>
      </c>
      <c r="J12" s="29"/>
      <c r="K12" s="29"/>
      <c r="L12" s="30"/>
    </row>
    <row r="13" spans="1:12" x14ac:dyDescent="0.2">
      <c r="A13" s="31">
        <v>50</v>
      </c>
      <c r="B13" s="34">
        <v>287.98860000000002</v>
      </c>
      <c r="C13" s="30">
        <v>28.369949999999999</v>
      </c>
      <c r="D13" s="30">
        <v>0.98948999999999998</v>
      </c>
      <c r="E13" s="29"/>
      <c r="F13" s="29"/>
      <c r="G13" s="9">
        <f t="shared" si="0"/>
        <v>2.8354855688491662</v>
      </c>
      <c r="H13" s="9">
        <f t="shared" si="1"/>
        <v>2.8354855688491662</v>
      </c>
    </row>
    <row r="14" spans="1:12" x14ac:dyDescent="0.2">
      <c r="A14" s="31">
        <v>100</v>
      </c>
      <c r="B14" s="34">
        <v>295.95202</v>
      </c>
      <c r="C14" s="30">
        <v>27.15897</v>
      </c>
      <c r="D14" s="30">
        <v>0.98180000000000001</v>
      </c>
      <c r="E14" s="29"/>
      <c r="F14" s="29"/>
      <c r="G14" s="9">
        <f t="shared" si="0"/>
        <v>3.0544804023790499</v>
      </c>
      <c r="H14" s="9">
        <f t="shared" si="1"/>
        <v>3.0544804023790499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1.8079183711406817</v>
      </c>
      <c r="H9" s="9">
        <f t="shared" ref="H9:H14" si="1">B9/(C9+$D$5)^D9</f>
        <v>1.8079183711406817</v>
      </c>
      <c r="J9" s="29"/>
      <c r="K9" s="29"/>
      <c r="L9" s="30"/>
    </row>
    <row r="10" spans="1:12" x14ac:dyDescent="0.2">
      <c r="A10" s="31">
        <v>5</v>
      </c>
      <c r="B10" s="34">
        <v>255.60579000000001</v>
      </c>
      <c r="C10" s="30">
        <v>33.199210000000001</v>
      </c>
      <c r="D10" s="30">
        <v>1.0205299999999999</v>
      </c>
      <c r="E10" s="29"/>
      <c r="F10" s="29"/>
      <c r="G10" s="9">
        <f t="shared" si="0"/>
        <v>2.0808855452312232</v>
      </c>
      <c r="H10" s="9">
        <f t="shared" si="1"/>
        <v>2.0808855452312232</v>
      </c>
      <c r="J10" s="29"/>
      <c r="K10" s="29"/>
      <c r="L10" s="30"/>
    </row>
    <row r="11" spans="1:12" x14ac:dyDescent="0.2">
      <c r="A11" s="31">
        <v>10</v>
      </c>
      <c r="B11" s="34">
        <v>265.91649999999998</v>
      </c>
      <c r="C11" s="30">
        <v>31.642119999999998</v>
      </c>
      <c r="D11" s="30">
        <v>1.0105999999999999</v>
      </c>
      <c r="E11" s="29"/>
      <c r="F11" s="29"/>
      <c r="G11" s="35">
        <f t="shared" si="0"/>
        <v>2.3010419629511971</v>
      </c>
      <c r="H11" s="118">
        <f t="shared" si="1"/>
        <v>2.3010419629511971</v>
      </c>
      <c r="J11" s="29"/>
      <c r="K11" s="29"/>
      <c r="L11" s="30"/>
    </row>
    <row r="12" spans="1:12" x14ac:dyDescent="0.2">
      <c r="A12" s="31">
        <v>25</v>
      </c>
      <c r="B12" s="34">
        <v>279.12966999999998</v>
      </c>
      <c r="C12" s="30">
        <v>29.68554</v>
      </c>
      <c r="D12" s="30">
        <v>0.99797000000000002</v>
      </c>
      <c r="E12" s="29"/>
      <c r="F12" s="29"/>
      <c r="G12" s="9">
        <f t="shared" si="0"/>
        <v>2.6094424305981283</v>
      </c>
      <c r="H12" s="9">
        <f t="shared" si="1"/>
        <v>2.6094424305981283</v>
      </c>
      <c r="J12" s="29"/>
      <c r="K12" s="29"/>
      <c r="L12" s="30"/>
    </row>
    <row r="13" spans="1:12" x14ac:dyDescent="0.2">
      <c r="A13" s="31">
        <v>50</v>
      </c>
      <c r="B13" s="34">
        <v>287.73534999999998</v>
      </c>
      <c r="C13" s="30">
        <v>28.407810000000001</v>
      </c>
      <c r="D13" s="30">
        <v>0.98973</v>
      </c>
      <c r="E13" s="29"/>
      <c r="F13" s="29"/>
      <c r="G13" s="9">
        <f t="shared" si="0"/>
        <v>2.8288251544982859</v>
      </c>
      <c r="H13" s="9">
        <f t="shared" si="1"/>
        <v>2.8288251544982859</v>
      </c>
    </row>
    <row r="14" spans="1:12" x14ac:dyDescent="0.2">
      <c r="A14" s="31">
        <v>100</v>
      </c>
      <c r="B14" s="34">
        <v>296.11192</v>
      </c>
      <c r="C14" s="30">
        <v>27.133880000000001</v>
      </c>
      <c r="D14" s="30">
        <v>0.98163999999999996</v>
      </c>
      <c r="E14" s="29"/>
      <c r="F14" s="29"/>
      <c r="G14" s="9">
        <f t="shared" si="0"/>
        <v>3.0591238198843467</v>
      </c>
      <c r="H14" s="9">
        <f t="shared" si="1"/>
        <v>3.0591238198843467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1.9424820500334028</v>
      </c>
      <c r="H9" s="9">
        <f t="shared" ref="H9:H14" si="1">B9/(C9+$D$5)^D9</f>
        <v>1.9424820500334028</v>
      </c>
      <c r="J9" s="29"/>
      <c r="K9" s="29"/>
      <c r="L9" s="30"/>
    </row>
    <row r="10" spans="1:12" x14ac:dyDescent="0.2">
      <c r="A10" s="31">
        <v>5</v>
      </c>
      <c r="B10" s="34">
        <v>260.21913999999998</v>
      </c>
      <c r="C10" s="30">
        <v>32.497070000000001</v>
      </c>
      <c r="D10" s="30">
        <v>1.01607</v>
      </c>
      <c r="E10" s="29"/>
      <c r="F10" s="29"/>
      <c r="G10" s="9">
        <f t="shared" si="0"/>
        <v>2.1773845611609932</v>
      </c>
      <c r="H10" s="9">
        <f t="shared" si="1"/>
        <v>2.1773845611609932</v>
      </c>
      <c r="J10" s="29"/>
      <c r="K10" s="29"/>
      <c r="L10" s="30"/>
    </row>
    <row r="11" spans="1:12" x14ac:dyDescent="0.2">
      <c r="A11" s="31">
        <v>10</v>
      </c>
      <c r="B11" s="34">
        <v>268.83895999999999</v>
      </c>
      <c r="C11" s="30">
        <v>31.20702</v>
      </c>
      <c r="D11" s="30">
        <v>1.0078</v>
      </c>
      <c r="E11" s="29"/>
      <c r="F11" s="29"/>
      <c r="G11" s="35">
        <f t="shared" si="0"/>
        <v>2.3665859069630248</v>
      </c>
      <c r="H11" s="118">
        <f t="shared" si="1"/>
        <v>2.3665859069630248</v>
      </c>
      <c r="J11" s="29"/>
      <c r="K11" s="29"/>
      <c r="L11" s="30"/>
    </row>
    <row r="12" spans="1:12" x14ac:dyDescent="0.2">
      <c r="A12" s="31">
        <v>25</v>
      </c>
      <c r="B12" s="34">
        <v>280.74806000000001</v>
      </c>
      <c r="C12" s="30">
        <v>29.446339999999999</v>
      </c>
      <c r="D12" s="30">
        <v>0.99641999999999997</v>
      </c>
      <c r="E12" s="29"/>
      <c r="F12" s="29"/>
      <c r="G12" s="9">
        <f t="shared" si="0"/>
        <v>2.6495359387692994</v>
      </c>
      <c r="H12" s="9">
        <f t="shared" si="1"/>
        <v>2.6495359387692994</v>
      </c>
      <c r="J12" s="29"/>
      <c r="K12" s="29"/>
      <c r="L12" s="30"/>
    </row>
    <row r="13" spans="1:12" x14ac:dyDescent="0.2">
      <c r="A13" s="31">
        <v>50</v>
      </c>
      <c r="B13" s="34">
        <v>289.11743999999999</v>
      </c>
      <c r="C13" s="30">
        <v>28.200089999999999</v>
      </c>
      <c r="D13" s="30">
        <v>0.98839999999999995</v>
      </c>
      <c r="E13" s="29"/>
      <c r="F13" s="29"/>
      <c r="G13" s="9">
        <f t="shared" si="0"/>
        <v>2.865636356435282</v>
      </c>
      <c r="H13" s="9">
        <f t="shared" si="1"/>
        <v>2.865636356435282</v>
      </c>
    </row>
    <row r="14" spans="1:12" x14ac:dyDescent="0.2">
      <c r="A14" s="31">
        <v>100</v>
      </c>
      <c r="B14" s="34">
        <v>296.42743999999999</v>
      </c>
      <c r="C14" s="30">
        <v>27.08362</v>
      </c>
      <c r="D14" s="30">
        <v>0.98133000000000004</v>
      </c>
      <c r="E14" s="29"/>
      <c r="F14" s="29"/>
      <c r="G14" s="9">
        <f t="shared" si="0"/>
        <v>3.068244040725649</v>
      </c>
      <c r="H14" s="9">
        <f t="shared" si="1"/>
        <v>3.068244040725649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1.8095960679747356</v>
      </c>
      <c r="H9" s="9">
        <f t="shared" ref="H9:H14" si="1">B9/(C9+$D$5)^D9</f>
        <v>1.8095960679747356</v>
      </c>
      <c r="J9" s="29"/>
      <c r="K9" s="29"/>
      <c r="L9" s="30"/>
    </row>
    <row r="10" spans="1:12" x14ac:dyDescent="0.2">
      <c r="A10" s="31">
        <v>5</v>
      </c>
      <c r="B10" s="34">
        <v>255.90621999999999</v>
      </c>
      <c r="C10" s="30">
        <v>33.153260000000003</v>
      </c>
      <c r="D10" s="30">
        <v>1.02024</v>
      </c>
      <c r="E10" s="29"/>
      <c r="F10" s="29"/>
      <c r="G10" s="9">
        <f t="shared" si="0"/>
        <v>2.0870588328716049</v>
      </c>
      <c r="H10" s="9">
        <f t="shared" si="1"/>
        <v>2.0870588328716049</v>
      </c>
      <c r="J10" s="29"/>
      <c r="K10" s="29"/>
      <c r="L10" s="30"/>
    </row>
    <row r="11" spans="1:12" x14ac:dyDescent="0.2">
      <c r="A11" s="31">
        <v>10</v>
      </c>
      <c r="B11" s="34">
        <v>265.82508000000001</v>
      </c>
      <c r="C11" s="30">
        <v>31.65579</v>
      </c>
      <c r="D11" s="30">
        <v>1.01068</v>
      </c>
      <c r="E11" s="29"/>
      <c r="F11" s="29"/>
      <c r="G11" s="35">
        <f t="shared" si="0"/>
        <v>2.2990972456513878</v>
      </c>
      <c r="H11" s="118">
        <f t="shared" si="1"/>
        <v>2.2990972456513878</v>
      </c>
      <c r="J11" s="29"/>
      <c r="K11" s="29"/>
      <c r="L11" s="30"/>
    </row>
    <row r="12" spans="1:12" x14ac:dyDescent="0.2">
      <c r="A12" s="31">
        <v>25</v>
      </c>
      <c r="B12" s="34">
        <v>278.87729000000002</v>
      </c>
      <c r="C12" s="30">
        <v>29.722819999999999</v>
      </c>
      <c r="D12" s="30">
        <v>0.99821000000000004</v>
      </c>
      <c r="E12" s="29"/>
      <c r="F12" s="29"/>
      <c r="G12" s="9">
        <f t="shared" si="0"/>
        <v>2.6032580725841297</v>
      </c>
      <c r="H12" s="9">
        <f t="shared" si="1"/>
        <v>2.6032580725841297</v>
      </c>
      <c r="J12" s="29"/>
      <c r="K12" s="29"/>
      <c r="L12" s="30"/>
    </row>
    <row r="13" spans="1:12" x14ac:dyDescent="0.2">
      <c r="A13" s="31">
        <v>50</v>
      </c>
      <c r="B13" s="34">
        <v>287.70310000000001</v>
      </c>
      <c r="C13" s="30">
        <v>28.412700000000001</v>
      </c>
      <c r="D13" s="30">
        <v>0.98975999999999997</v>
      </c>
      <c r="E13" s="29"/>
      <c r="F13" s="29"/>
      <c r="G13" s="9">
        <f t="shared" si="0"/>
        <v>2.8279835732003757</v>
      </c>
      <c r="H13" s="9">
        <f t="shared" si="1"/>
        <v>2.8279835732003757</v>
      </c>
    </row>
    <row r="14" spans="1:12" x14ac:dyDescent="0.2">
      <c r="A14" s="31">
        <v>100</v>
      </c>
      <c r="B14" s="34">
        <v>295.99838</v>
      </c>
      <c r="C14" s="30">
        <v>27.151769999999999</v>
      </c>
      <c r="D14" s="30">
        <v>0.98175000000000001</v>
      </c>
      <c r="E14" s="29"/>
      <c r="F14" s="29"/>
      <c r="G14" s="9">
        <f t="shared" si="0"/>
        <v>3.055875333406838</v>
      </c>
      <c r="H14" s="9">
        <f t="shared" si="1"/>
        <v>3.055875333406838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2.1243395602205726</v>
      </c>
      <c r="H9" s="9">
        <f t="shared" ref="H9:H14" si="1">B9/(C9+$D$5)^D9</f>
        <v>2.1243395602205726</v>
      </c>
      <c r="J9" s="29"/>
      <c r="K9" s="29"/>
      <c r="L9" s="30"/>
    </row>
    <row r="10" spans="1:12" x14ac:dyDescent="0.2">
      <c r="A10" s="31">
        <v>5</v>
      </c>
      <c r="B10" s="34">
        <v>270.87616000000003</v>
      </c>
      <c r="C10" s="30">
        <v>30.90504</v>
      </c>
      <c r="D10" s="30">
        <v>1.0058499999999999</v>
      </c>
      <c r="E10" s="29"/>
      <c r="F10" s="29"/>
      <c r="G10" s="9">
        <f t="shared" si="0"/>
        <v>2.4131484580694464</v>
      </c>
      <c r="H10" s="9">
        <f t="shared" si="1"/>
        <v>2.4131484580694464</v>
      </c>
      <c r="J10" s="29"/>
      <c r="K10" s="29"/>
      <c r="L10" s="30"/>
    </row>
    <row r="11" spans="1:12" x14ac:dyDescent="0.2">
      <c r="A11" s="31">
        <v>10</v>
      </c>
      <c r="B11" s="34">
        <v>279.22149999999999</v>
      </c>
      <c r="C11" s="30">
        <v>29.671980000000001</v>
      </c>
      <c r="D11" s="30">
        <v>0.99787999999999999</v>
      </c>
      <c r="E11" s="29"/>
      <c r="F11" s="29"/>
      <c r="G11" s="35">
        <f t="shared" si="0"/>
        <v>2.6117283240063354</v>
      </c>
      <c r="H11" s="118">
        <f t="shared" si="1"/>
        <v>2.6117283240063354</v>
      </c>
      <c r="J11" s="29"/>
      <c r="K11" s="29"/>
      <c r="L11" s="30"/>
    </row>
    <row r="12" spans="1:12" x14ac:dyDescent="0.2">
      <c r="A12" s="31">
        <v>25</v>
      </c>
      <c r="B12" s="34">
        <v>289.92786999999998</v>
      </c>
      <c r="C12" s="30">
        <v>28.093499999999999</v>
      </c>
      <c r="D12" s="30">
        <v>0.98772000000000004</v>
      </c>
      <c r="E12" s="29"/>
      <c r="F12" s="29"/>
      <c r="G12" s="9">
        <f t="shared" si="0"/>
        <v>2.8856581675249302</v>
      </c>
      <c r="H12" s="9">
        <f t="shared" si="1"/>
        <v>2.8856581675249302</v>
      </c>
      <c r="J12" s="29"/>
      <c r="K12" s="29"/>
      <c r="L12" s="30"/>
    </row>
    <row r="13" spans="1:12" x14ac:dyDescent="0.2">
      <c r="A13" s="31">
        <v>50</v>
      </c>
      <c r="B13" s="34">
        <v>297.03444999999999</v>
      </c>
      <c r="C13" s="30">
        <v>26.990010000000002</v>
      </c>
      <c r="D13" s="30">
        <v>0.98073999999999995</v>
      </c>
      <c r="E13" s="29"/>
      <c r="F13" s="29"/>
      <c r="G13" s="9">
        <f t="shared" si="0"/>
        <v>3.0856755579308572</v>
      </c>
      <c r="H13" s="9">
        <f t="shared" si="1"/>
        <v>3.0856755579308572</v>
      </c>
    </row>
    <row r="14" spans="1:12" x14ac:dyDescent="0.2">
      <c r="A14" s="31">
        <v>100</v>
      </c>
      <c r="B14" s="34">
        <v>303.39913999999999</v>
      </c>
      <c r="C14" s="30">
        <v>25.972549999999998</v>
      </c>
      <c r="D14" s="30">
        <v>0.97448000000000001</v>
      </c>
      <c r="E14" s="29"/>
      <c r="F14" s="29"/>
      <c r="G14" s="9">
        <f t="shared" si="0"/>
        <v>3.2758756661660633</v>
      </c>
      <c r="H14" s="9">
        <f t="shared" si="1"/>
        <v>3.2758756661660633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1.7323480004738658</v>
      </c>
      <c r="H9" s="9">
        <f t="shared" ref="H9:H14" si="1">B9/(C9+$D$5)^D9</f>
        <v>1.7323480004738658</v>
      </c>
      <c r="J9" s="29"/>
      <c r="K9" s="29"/>
      <c r="L9" s="30"/>
    </row>
    <row r="10" spans="1:12" x14ac:dyDescent="0.2">
      <c r="A10" s="31">
        <v>5</v>
      </c>
      <c r="B10" s="34">
        <v>253.72864999999999</v>
      </c>
      <c r="C10" s="30">
        <v>33.487439999999999</v>
      </c>
      <c r="D10" s="30">
        <v>1.0223599999999999</v>
      </c>
      <c r="E10" s="29"/>
      <c r="F10" s="29"/>
      <c r="G10" s="9">
        <f t="shared" si="0"/>
        <v>2.042463163519912</v>
      </c>
      <c r="H10" s="9">
        <f t="shared" si="1"/>
        <v>2.042463163519912</v>
      </c>
      <c r="J10" s="29"/>
      <c r="K10" s="29"/>
      <c r="L10" s="30"/>
    </row>
    <row r="11" spans="1:12" x14ac:dyDescent="0.2">
      <c r="A11" s="31">
        <v>10</v>
      </c>
      <c r="B11" s="34">
        <v>263.58690999999999</v>
      </c>
      <c r="C11" s="30">
        <v>31.99044</v>
      </c>
      <c r="D11" s="30">
        <v>1.0128299999999999</v>
      </c>
      <c r="E11" s="29"/>
      <c r="F11" s="29"/>
      <c r="G11" s="35">
        <f t="shared" si="0"/>
        <v>2.2498829662964841</v>
      </c>
      <c r="H11" s="118">
        <f t="shared" si="1"/>
        <v>2.2498829662964841</v>
      </c>
      <c r="J11" s="29"/>
      <c r="K11" s="29"/>
      <c r="L11" s="30"/>
    </row>
    <row r="12" spans="1:12" x14ac:dyDescent="0.2">
      <c r="A12" s="31">
        <v>25</v>
      </c>
      <c r="B12" s="34">
        <v>277.53219999999999</v>
      </c>
      <c r="C12" s="30">
        <v>29.921430000000001</v>
      </c>
      <c r="D12" s="30">
        <v>0.99948999999999999</v>
      </c>
      <c r="E12" s="29"/>
      <c r="F12" s="29"/>
      <c r="G12" s="9">
        <f t="shared" si="0"/>
        <v>2.570497662752445</v>
      </c>
      <c r="H12" s="9">
        <f t="shared" si="1"/>
        <v>2.570497662752445</v>
      </c>
      <c r="J12" s="29"/>
      <c r="K12" s="29"/>
      <c r="L12" s="30"/>
    </row>
    <row r="13" spans="1:12" x14ac:dyDescent="0.2">
      <c r="A13" s="31">
        <v>50</v>
      </c>
      <c r="B13" s="34">
        <v>286.46476000000001</v>
      </c>
      <c r="C13" s="30">
        <v>28.597670000000001</v>
      </c>
      <c r="D13" s="30">
        <v>0.99095</v>
      </c>
      <c r="E13" s="29"/>
      <c r="F13" s="29"/>
      <c r="G13" s="9">
        <f t="shared" si="0"/>
        <v>2.7954044663529629</v>
      </c>
      <c r="H13" s="9">
        <f t="shared" si="1"/>
        <v>2.7954044663529629</v>
      </c>
    </row>
    <row r="14" spans="1:12" x14ac:dyDescent="0.2">
      <c r="A14" s="31">
        <v>100</v>
      </c>
      <c r="B14" s="34">
        <v>295.10935000000001</v>
      </c>
      <c r="C14" s="30">
        <v>27.28867</v>
      </c>
      <c r="D14" s="30">
        <v>0.98262000000000005</v>
      </c>
      <c r="E14" s="29"/>
      <c r="F14" s="29"/>
      <c r="G14" s="9">
        <f t="shared" si="0"/>
        <v>3.0305089209348206</v>
      </c>
      <c r="H14" s="9">
        <f t="shared" si="1"/>
        <v>3.0305089209348206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1.7819541292759866</v>
      </c>
      <c r="H9" s="9">
        <f t="shared" ref="H9:H14" si="1">B9/(C9+$D$5)^D9</f>
        <v>1.7819541292759866</v>
      </c>
      <c r="J9" s="29"/>
      <c r="K9" s="29"/>
      <c r="L9" s="30"/>
    </row>
    <row r="10" spans="1:12" x14ac:dyDescent="0.2">
      <c r="A10" s="31">
        <v>5</v>
      </c>
      <c r="B10" s="34">
        <v>254.71848</v>
      </c>
      <c r="C10" s="30">
        <v>33.335520000000002</v>
      </c>
      <c r="D10" s="30">
        <v>1.0214000000000001</v>
      </c>
      <c r="E10" s="29"/>
      <c r="F10" s="29"/>
      <c r="G10" s="9">
        <f t="shared" si="0"/>
        <v>2.0625993531739759</v>
      </c>
      <c r="H10" s="9">
        <f t="shared" si="1"/>
        <v>2.0625993531739759</v>
      </c>
      <c r="J10" s="29"/>
      <c r="K10" s="29"/>
      <c r="L10" s="30"/>
    </row>
    <row r="11" spans="1:12" x14ac:dyDescent="0.2">
      <c r="A11" s="31">
        <v>10</v>
      </c>
      <c r="B11" s="34">
        <v>264.71357</v>
      </c>
      <c r="C11" s="30">
        <v>31.821919999999999</v>
      </c>
      <c r="D11" s="30">
        <v>1.0117499999999999</v>
      </c>
      <c r="E11" s="29"/>
      <c r="F11" s="29"/>
      <c r="G11" s="35">
        <f t="shared" si="0"/>
        <v>2.2745219013764402</v>
      </c>
      <c r="H11" s="118">
        <f t="shared" si="1"/>
        <v>2.2745219013764402</v>
      </c>
      <c r="J11" s="29"/>
      <c r="K11" s="29"/>
      <c r="L11" s="30"/>
    </row>
    <row r="12" spans="1:12" x14ac:dyDescent="0.2">
      <c r="A12" s="31">
        <v>25</v>
      </c>
      <c r="B12" s="34">
        <v>276.98802000000001</v>
      </c>
      <c r="C12" s="30">
        <v>30.00177</v>
      </c>
      <c r="D12" s="30">
        <v>1.0000100000000001</v>
      </c>
      <c r="E12" s="29"/>
      <c r="F12" s="29"/>
      <c r="G12" s="9">
        <f t="shared" si="0"/>
        <v>2.5573177497674564</v>
      </c>
      <c r="H12" s="9">
        <f t="shared" si="1"/>
        <v>2.5573177497674564</v>
      </c>
      <c r="J12" s="29"/>
      <c r="K12" s="29"/>
      <c r="L12" s="30"/>
    </row>
    <row r="13" spans="1:12" x14ac:dyDescent="0.2">
      <c r="A13" s="31">
        <v>50</v>
      </c>
      <c r="B13" s="34">
        <v>286.34575000000001</v>
      </c>
      <c r="C13" s="30">
        <v>28.615590000000001</v>
      </c>
      <c r="D13" s="30">
        <v>0.99107000000000001</v>
      </c>
      <c r="E13" s="29"/>
      <c r="F13" s="29"/>
      <c r="G13" s="9">
        <f t="shared" si="0"/>
        <v>2.7922131587527783</v>
      </c>
      <c r="H13" s="9">
        <f t="shared" si="1"/>
        <v>2.7922131587527783</v>
      </c>
    </row>
    <row r="14" spans="1:12" x14ac:dyDescent="0.2">
      <c r="A14" s="31">
        <v>100</v>
      </c>
      <c r="B14" s="34">
        <v>294.57238000000001</v>
      </c>
      <c r="C14" s="30">
        <v>27.372150000000001</v>
      </c>
      <c r="D14" s="30">
        <v>0.98314000000000001</v>
      </c>
      <c r="E14" s="29"/>
      <c r="F14" s="29"/>
      <c r="G14" s="9">
        <f t="shared" si="0"/>
        <v>3.0153304116322901</v>
      </c>
      <c r="H14" s="9">
        <f t="shared" si="1"/>
        <v>3.0153304116322901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topLeftCell="A82" zoomScaleNormal="100" zoomScaleSheetLayoutView="100" workbookViewId="0">
      <selection activeCell="A5" sqref="A5:I6"/>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431</v>
      </c>
      <c r="B3" s="46"/>
      <c r="C3" s="46"/>
      <c r="D3" s="46"/>
      <c r="E3" s="46"/>
      <c r="F3" s="46"/>
      <c r="G3" s="46"/>
    </row>
    <row r="4" spans="1:10" ht="8.25" customHeight="1" x14ac:dyDescent="0.2"/>
    <row r="5" spans="1:10" ht="19.5" customHeight="1" x14ac:dyDescent="0.2">
      <c r="A5" s="176" t="s">
        <v>425</v>
      </c>
      <c r="B5" s="177"/>
      <c r="C5" s="177"/>
      <c r="D5" s="177"/>
      <c r="E5" s="177"/>
      <c r="F5" s="177"/>
      <c r="G5" s="177"/>
      <c r="H5" s="177"/>
      <c r="I5" s="177"/>
      <c r="J5" s="168"/>
    </row>
    <row r="6" spans="1:10" ht="36.6" customHeight="1" x14ac:dyDescent="0.2">
      <c r="A6" s="177"/>
      <c r="B6" s="177"/>
      <c r="C6" s="177"/>
      <c r="D6" s="177"/>
      <c r="E6" s="177"/>
      <c r="F6" s="177"/>
      <c r="G6" s="177"/>
      <c r="H6" s="177"/>
      <c r="I6" s="177"/>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15.75</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402</v>
      </c>
      <c r="B13" s="179" t="s">
        <v>407</v>
      </c>
      <c r="C13" s="179"/>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81" t="s">
        <v>6</v>
      </c>
      <c r="G15" s="181"/>
      <c r="H15" s="46"/>
      <c r="I15" s="46"/>
      <c r="J15" s="46"/>
    </row>
    <row r="16" spans="1:10" x14ac:dyDescent="0.2">
      <c r="A16" s="46"/>
      <c r="B16" s="46"/>
      <c r="C16" s="115">
        <v>7.85</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
      <c r="A17" s="46"/>
      <c r="B17" s="46"/>
      <c r="C17" s="115">
        <v>5.4</v>
      </c>
      <c r="D17" s="50" t="s">
        <v>3</v>
      </c>
      <c r="E17" s="48">
        <f>IF(ISBLANK(F17),0,IF($B$13='Runoff Coeficients (C)'!$I$8,VLOOKUP(F17,'Runoff Coeficients (C)'!$C$8:$F$40,2,FALSE),IF($B$13='Runoff Coeficients (C)'!$I$9,VLOOKUP(F17,'Runoff Coeficients (C)'!$C$8:$F$40,3,FALSE),IF($B$13='Runoff Coeficients (C)'!$I$10,VLOOKUP(F17,'Runoff Coeficients (C)'!$C$8:$F$40,4,FALSE),"UPDATE"))))</f>
        <v>0.15</v>
      </c>
      <c r="F17" s="178" t="s">
        <v>395</v>
      </c>
      <c r="G17" s="178"/>
      <c r="H17" s="46"/>
      <c r="I17" s="46"/>
      <c r="J17" s="46"/>
    </row>
    <row r="18" spans="1:10" x14ac:dyDescent="0.2">
      <c r="A18" s="46"/>
      <c r="B18" s="46"/>
      <c r="C18" s="115">
        <v>2.5</v>
      </c>
      <c r="D18" s="50" t="s">
        <v>3</v>
      </c>
      <c r="E18" s="48">
        <f>IF(ISBLANK(F18),0,IF($B$13='Runoff Coeficients (C)'!$I$8,VLOOKUP(F18,'Runoff Coeficients (C)'!$C$8:$F$40,2,FALSE),IF($B$13='Runoff Coeficients (C)'!$I$9,VLOOKUP(F18,'Runoff Coeficients (C)'!$C$8:$F$40,3,FALSE),IF($B$13='Runoff Coeficients (C)'!$I$10,VLOOKUP(F18,'Runoff Coeficients (C)'!$C$8:$F$40,4,FALSE),"UPDATE"))))</f>
        <v>0.25</v>
      </c>
      <c r="F18" s="178" t="s">
        <v>385</v>
      </c>
      <c r="G18" s="178"/>
      <c r="H18" s="46"/>
      <c r="I18" s="46"/>
      <c r="J18" s="46"/>
    </row>
    <row r="19" spans="1:10" x14ac:dyDescent="0.2">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8" t="s">
        <v>381</v>
      </c>
      <c r="G19" s="178"/>
      <c r="H19" s="46"/>
      <c r="I19" s="46"/>
      <c r="J19" s="46"/>
    </row>
    <row r="20" spans="1:10" x14ac:dyDescent="0.2">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8" t="s">
        <v>396</v>
      </c>
      <c r="G20" s="178"/>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397</v>
      </c>
      <c r="G21" s="178"/>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0.53968253968253965</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159</v>
      </c>
      <c r="B26" s="46"/>
      <c r="C26" s="46"/>
      <c r="D26" s="46"/>
      <c r="E26" s="46"/>
      <c r="F26" s="46"/>
      <c r="G26" s="46"/>
      <c r="H26" s="46"/>
      <c r="I26" s="46"/>
      <c r="J26" s="46"/>
    </row>
    <row r="27" spans="1:10" x14ac:dyDescent="0.2">
      <c r="A27" s="46"/>
      <c r="B27" s="46"/>
      <c r="C27" s="46" t="s">
        <v>8</v>
      </c>
      <c r="D27" s="46"/>
      <c r="E27" s="46"/>
      <c r="F27" s="53">
        <f>'tc-pre'!D48</f>
        <v>1.3050847551462363</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1.8402119803655543</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2.3161039654313686</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2.6088236750718075</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2.8354855688491662</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3.0544804023790499</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0.53968253968253965</v>
      </c>
      <c r="E43" s="48">
        <f>G33</f>
        <v>1.8402119803655543</v>
      </c>
      <c r="F43" s="48">
        <f>$E$10</f>
        <v>15.75</v>
      </c>
      <c r="G43" s="50" t="s">
        <v>22</v>
      </c>
      <c r="H43" s="48">
        <f>C43*D43*E43*F43</f>
        <v>15.641801833107211</v>
      </c>
      <c r="I43" s="46" t="s">
        <v>33</v>
      </c>
    </row>
    <row r="44" spans="1:10" x14ac:dyDescent="0.2">
      <c r="A44" s="46"/>
      <c r="B44" s="50">
        <v>10</v>
      </c>
      <c r="C44" s="50">
        <v>1</v>
      </c>
      <c r="D44" s="48">
        <f>$H$23</f>
        <v>0.53968253968253965</v>
      </c>
      <c r="E44" s="48">
        <f>G34</f>
        <v>2.3161039654313686</v>
      </c>
      <c r="F44" s="48">
        <f>$E$10</f>
        <v>15.75</v>
      </c>
      <c r="G44" s="50" t="s">
        <v>22</v>
      </c>
      <c r="H44" s="48">
        <f>C44*D44*E44*F44</f>
        <v>19.686883706166633</v>
      </c>
      <c r="I44" s="46" t="s">
        <v>33</v>
      </c>
    </row>
    <row r="45" spans="1:10" x14ac:dyDescent="0.2">
      <c r="A45" s="46"/>
      <c r="B45" s="50">
        <v>25</v>
      </c>
      <c r="C45" s="50">
        <v>1.1000000000000001</v>
      </c>
      <c r="D45" s="48">
        <f>$H$23</f>
        <v>0.53968253968253965</v>
      </c>
      <c r="E45" s="48">
        <f>G35</f>
        <v>2.6088236750718075</v>
      </c>
      <c r="F45" s="48">
        <f>$E$10</f>
        <v>15.75</v>
      </c>
      <c r="G45" s="50" t="s">
        <v>22</v>
      </c>
      <c r="H45" s="48">
        <f>C45*D45*E45*F45</f>
        <v>24.392501361921401</v>
      </c>
      <c r="I45" s="46" t="s">
        <v>33</v>
      </c>
    </row>
    <row r="46" spans="1:10" x14ac:dyDescent="0.2">
      <c r="A46" s="46"/>
      <c r="B46" s="50">
        <v>50</v>
      </c>
      <c r="C46" s="50">
        <v>1.2</v>
      </c>
      <c r="D46" s="48">
        <f>$H$23</f>
        <v>0.53968253968253965</v>
      </c>
      <c r="E46" s="48">
        <f>G36</f>
        <v>2.8354855688491662</v>
      </c>
      <c r="F46" s="48">
        <f>$E$10</f>
        <v>15.75</v>
      </c>
      <c r="G46" s="50" t="s">
        <v>22</v>
      </c>
      <c r="H46" s="48">
        <f>C46*D46*E46*F46</f>
        <v>28.921952802261494</v>
      </c>
      <c r="I46" s="46" t="s">
        <v>33</v>
      </c>
    </row>
    <row r="47" spans="1:10" x14ac:dyDescent="0.2">
      <c r="A47" s="46"/>
      <c r="B47" s="50">
        <v>100</v>
      </c>
      <c r="C47" s="50">
        <v>1.25</v>
      </c>
      <c r="D47" s="48">
        <f>$H$23</f>
        <v>0.53968253968253965</v>
      </c>
      <c r="E47" s="48">
        <f>G37</f>
        <v>3.0544804023790499</v>
      </c>
      <c r="F47" s="48">
        <f>$E$10</f>
        <v>15.75</v>
      </c>
      <c r="G47" s="50" t="s">
        <v>22</v>
      </c>
      <c r="H47" s="48">
        <f>C47*D47*E47*F47</f>
        <v>32.453854275277401</v>
      </c>
      <c r="I47" s="46" t="s">
        <v>33</v>
      </c>
    </row>
    <row r="48" spans="1:10" x14ac:dyDescent="0.2">
      <c r="A48" s="46"/>
      <c r="B48" s="46"/>
      <c r="C48" s="50"/>
      <c r="D48" s="50"/>
      <c r="E48" s="48"/>
      <c r="F48" s="48"/>
      <c r="G48" s="50"/>
      <c r="H48" s="50"/>
      <c r="I48" s="59"/>
      <c r="J48" s="46"/>
    </row>
    <row r="50" spans="1:10" s="44" customFormat="1" x14ac:dyDescent="0.2">
      <c r="A50" s="44" t="str">
        <f>A2</f>
        <v>Outfall #17 [Lt.] Sta.547+00 (I-20)</v>
      </c>
    </row>
    <row r="51" spans="1:10" x14ac:dyDescent="0.2">
      <c r="A51" s="45" t="str">
        <f>A3</f>
        <v>Outfall ditch</v>
      </c>
      <c r="B51" s="46"/>
      <c r="C51" s="46"/>
      <c r="D51" s="46"/>
      <c r="E51" s="46"/>
      <c r="F51" s="46"/>
      <c r="G51" s="46"/>
      <c r="H51" s="46"/>
      <c r="I51" s="46"/>
      <c r="J51" s="46"/>
    </row>
    <row r="53" spans="1:10" x14ac:dyDescent="0.2">
      <c r="A53" s="42" t="s">
        <v>23</v>
      </c>
    </row>
    <row r="54" spans="1:10" ht="27.75" customHeight="1" x14ac:dyDescent="0.2">
      <c r="A54" s="176" t="s">
        <v>426</v>
      </c>
      <c r="B54" s="177"/>
      <c r="C54" s="177"/>
      <c r="D54" s="177"/>
      <c r="E54" s="177"/>
      <c r="F54" s="177"/>
      <c r="G54" s="177"/>
      <c r="H54" s="177"/>
      <c r="I54" s="177"/>
      <c r="J54" s="168"/>
    </row>
    <row r="56" spans="1:10" x14ac:dyDescent="0.2">
      <c r="A56" s="44" t="s">
        <v>24</v>
      </c>
    </row>
    <row r="58" spans="1:10" ht="55.5" customHeight="1" x14ac:dyDescent="0.2">
      <c r="A58" s="176" t="s">
        <v>427</v>
      </c>
      <c r="B58" s="177"/>
      <c r="C58" s="177"/>
      <c r="D58" s="177"/>
      <c r="E58" s="177"/>
      <c r="F58" s="177"/>
      <c r="G58" s="177"/>
      <c r="H58" s="177"/>
      <c r="I58" s="177"/>
      <c r="J58" s="168"/>
    </row>
    <row r="60" spans="1:10" x14ac:dyDescent="0.2">
      <c r="C60" s="43" t="s">
        <v>25</v>
      </c>
      <c r="G60" s="116">
        <v>15.75</v>
      </c>
      <c r="H60" s="43" t="s">
        <v>26</v>
      </c>
    </row>
    <row r="62" spans="1:10" x14ac:dyDescent="0.2">
      <c r="C62" s="43" t="s">
        <v>34</v>
      </c>
      <c r="G62" s="123">
        <f>C68-C16</f>
        <v>0.70000000000000107</v>
      </c>
      <c r="H62" s="43" t="s">
        <v>26</v>
      </c>
    </row>
    <row r="63" spans="1:10" x14ac:dyDescent="0.2">
      <c r="G63" s="60"/>
    </row>
    <row r="64" spans="1:10" x14ac:dyDescent="0.2">
      <c r="A64" s="61" t="s">
        <v>4</v>
      </c>
      <c r="B64" s="61"/>
      <c r="C64" s="61"/>
      <c r="D64" s="61"/>
    </row>
    <row r="65" spans="1:8" x14ac:dyDescent="0.2">
      <c r="A65" s="162" t="s">
        <v>402</v>
      </c>
      <c r="B65" s="179" t="s">
        <v>407</v>
      </c>
      <c r="C65" s="179"/>
    </row>
    <row r="67" spans="1:8" x14ac:dyDescent="0.2">
      <c r="C67" s="62" t="s">
        <v>2</v>
      </c>
      <c r="D67" s="62"/>
      <c r="E67" s="62" t="s">
        <v>5</v>
      </c>
      <c r="F67" s="180" t="s">
        <v>6</v>
      </c>
      <c r="G67" s="180"/>
    </row>
    <row r="68" spans="1:8" x14ac:dyDescent="0.2">
      <c r="C68" s="115">
        <v>8.5500000000000007</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
      <c r="C69" s="115">
        <v>5.4</v>
      </c>
      <c r="D69" s="50" t="s">
        <v>3</v>
      </c>
      <c r="E69" s="48">
        <f>IF(ISBLANK(F69),0,IF($B$65='Runoff Coeficients (C)'!$I$8,VLOOKUP(F69,'Runoff Coeficients (C)'!$C$8:$F$40,2,FALSE),IF($B$65='Runoff Coeficients (C)'!$I$9,VLOOKUP(F69,'Runoff Coeficients (C)'!$C$8:$F$40,3,FALSE),IF($B$65='Runoff Coeficients (C)'!$I$10,VLOOKUP(F69,'Runoff Coeficients (C)'!$C$8:$F$40,4,FALSE),"UPDATE"))))</f>
        <v>0.15</v>
      </c>
      <c r="F69" s="178" t="s">
        <v>395</v>
      </c>
      <c r="G69" s="178"/>
    </row>
    <row r="70" spans="1:8" ht="12.75" customHeight="1" x14ac:dyDescent="0.2">
      <c r="C70" s="115">
        <v>1.8</v>
      </c>
      <c r="D70" s="50" t="s">
        <v>3</v>
      </c>
      <c r="E70" s="48">
        <f>IF(ISBLANK(F70),0,IF($B$65='Runoff Coeficients (C)'!$I$8,VLOOKUP(F70,'Runoff Coeficients (C)'!$C$8:$F$40,2,FALSE),IF($B$65='Runoff Coeficients (C)'!$I$9,VLOOKUP(F70,'Runoff Coeficients (C)'!$C$8:$F$40,3,FALSE),IF($B$65='Runoff Coeficients (C)'!$I$10,VLOOKUP(F70,'Runoff Coeficients (C)'!$C$8:$F$40,4,FALSE),"UPDATE"))))</f>
        <v>0.25</v>
      </c>
      <c r="F70" s="178" t="s">
        <v>385</v>
      </c>
      <c r="G70" s="178"/>
    </row>
    <row r="71" spans="1:8" ht="12.75" customHeight="1" x14ac:dyDescent="0.2">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8" t="s">
        <v>381</v>
      </c>
      <c r="G71" s="178"/>
    </row>
    <row r="72" spans="1:8" x14ac:dyDescent="0.2">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8" t="s">
        <v>396</v>
      </c>
      <c r="G72" s="178"/>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397</v>
      </c>
      <c r="G73" s="178"/>
    </row>
    <row r="74" spans="1:8" x14ac:dyDescent="0.2">
      <c r="F74" s="50"/>
      <c r="G74" s="50"/>
    </row>
    <row r="75" spans="1:8" ht="12" customHeight="1" x14ac:dyDescent="0.2">
      <c r="F75" s="43" t="s">
        <v>7</v>
      </c>
      <c r="H75" s="52">
        <f>((C68*E68)+(C69*E69)+(C73*E73)+(C72*E72)+(C70*E70)+(C71*E71))/G60</f>
        <v>0.56857142857142862</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1.3050847551462363</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1.8402119803655543</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2.3161039654313686</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2.6088236750718075</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2.8354855688491662</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3.0544804023790499</v>
      </c>
    </row>
    <row r="91" spans="1:10" x14ac:dyDescent="0.2">
      <c r="G91" s="66"/>
    </row>
    <row r="93" spans="1:10" s="44" customFormat="1" x14ac:dyDescent="0.2">
      <c r="A93" s="44" t="str">
        <f>A2</f>
        <v>Outfall #17 [Lt.] Sta.547+00 (I-20)</v>
      </c>
    </row>
    <row r="94" spans="1:10" x14ac:dyDescent="0.2">
      <c r="A94" s="45" t="str">
        <f>A3</f>
        <v>Outfall ditch</v>
      </c>
      <c r="B94" s="46"/>
      <c r="C94" s="46"/>
      <c r="D94" s="46"/>
      <c r="E94" s="46"/>
      <c r="F94" s="46"/>
      <c r="G94" s="46"/>
      <c r="H94" s="46"/>
      <c r="I94" s="46"/>
      <c r="J94" s="46"/>
    </row>
    <row r="96" spans="1:10" x14ac:dyDescent="0.2">
      <c r="A96" s="42" t="s">
        <v>23</v>
      </c>
    </row>
    <row r="97" spans="1:10" s="64" customFormat="1" ht="18.75" customHeight="1" x14ac:dyDescent="0.2">
      <c r="A97" s="182"/>
      <c r="B97" s="182"/>
      <c r="C97" s="182"/>
      <c r="D97" s="182"/>
      <c r="E97" s="182"/>
      <c r="F97" s="182"/>
      <c r="G97" s="182"/>
      <c r="H97" s="182"/>
      <c r="I97" s="182"/>
      <c r="J97" s="182"/>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0.56857142857142862</v>
      </c>
      <c r="E103" s="69">
        <f>G86</f>
        <v>1.8402119803655543</v>
      </c>
      <c r="F103" s="68">
        <f>$G$60</f>
        <v>15.75</v>
      </c>
      <c r="G103" s="62" t="s">
        <v>22</v>
      </c>
      <c r="H103" s="68">
        <f>C103*D103*E103*F103</f>
        <v>16.479098284173542</v>
      </c>
      <c r="I103" s="43" t="s">
        <v>33</v>
      </c>
    </row>
    <row r="104" spans="1:10" ht="12.75" customHeight="1" x14ac:dyDescent="0.2">
      <c r="B104" s="62">
        <v>10</v>
      </c>
      <c r="C104" s="62">
        <v>1</v>
      </c>
      <c r="D104" s="68">
        <f>$H$75</f>
        <v>0.56857142857142862</v>
      </c>
      <c r="E104" s="69">
        <f>G87</f>
        <v>2.3161039654313686</v>
      </c>
      <c r="F104" s="68">
        <f>$G$60</f>
        <v>15.75</v>
      </c>
      <c r="G104" s="62" t="s">
        <v>22</v>
      </c>
      <c r="H104" s="68">
        <f>C104*D104*E104*F104</f>
        <v>20.740711010437909</v>
      </c>
      <c r="I104" s="43" t="s">
        <v>33</v>
      </c>
    </row>
    <row r="105" spans="1:10" ht="12.75" customHeight="1" x14ac:dyDescent="0.2">
      <c r="B105" s="62">
        <v>25</v>
      </c>
      <c r="C105" s="62">
        <v>1.1000000000000001</v>
      </c>
      <c r="D105" s="68">
        <f>$H$75</f>
        <v>0.56857142857142862</v>
      </c>
      <c r="E105" s="69">
        <f>G88</f>
        <v>2.6088236750718075</v>
      </c>
      <c r="F105" s="68">
        <f>$G$60</f>
        <v>15.75</v>
      </c>
      <c r="G105" s="62" t="s">
        <v>22</v>
      </c>
      <c r="H105" s="68">
        <f>C105*D105*E105*F105</f>
        <v>25.698217611294844</v>
      </c>
      <c r="I105" s="43" t="s">
        <v>33</v>
      </c>
    </row>
    <row r="106" spans="1:10" ht="12.75" customHeight="1" x14ac:dyDescent="0.2">
      <c r="B106" s="62">
        <v>50</v>
      </c>
      <c r="C106" s="62">
        <v>1.2</v>
      </c>
      <c r="D106" s="68">
        <f>$H$75</f>
        <v>0.56857142857142862</v>
      </c>
      <c r="E106" s="69">
        <f>G89</f>
        <v>2.8354855688491662</v>
      </c>
      <c r="F106" s="68">
        <f>$G$60</f>
        <v>15.75</v>
      </c>
      <c r="G106" s="62" t="s">
        <v>22</v>
      </c>
      <c r="H106" s="68">
        <f>C106*D106*E106*F106</f>
        <v>30.470127922853141</v>
      </c>
      <c r="I106" s="43" t="s">
        <v>33</v>
      </c>
    </row>
    <row r="107" spans="1:10" ht="12.75" customHeight="1" x14ac:dyDescent="0.2">
      <c r="B107" s="62">
        <v>100</v>
      </c>
      <c r="C107" s="62">
        <v>1.25</v>
      </c>
      <c r="D107" s="68">
        <f>$H$75</f>
        <v>0.56857142857142862</v>
      </c>
      <c r="E107" s="69">
        <f>G90</f>
        <v>3.0544804023790499</v>
      </c>
      <c r="F107" s="68">
        <f>$G$60</f>
        <v>15.75</v>
      </c>
      <c r="G107" s="62" t="s">
        <v>22</v>
      </c>
      <c r="H107" s="68">
        <f>C107*D107*E107*F107</f>
        <v>34.191090004130494</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15.641801833107211</v>
      </c>
      <c r="E112" s="48">
        <f>H103</f>
        <v>16.479098284173542</v>
      </c>
      <c r="F112" s="48">
        <f>E112-D112</f>
        <v>0.83729645106633122</v>
      </c>
      <c r="G112" s="71">
        <f>F112/D112</f>
        <v>5.3529411764706138E-2</v>
      </c>
      <c r="H112" s="46"/>
      <c r="I112" s="46"/>
      <c r="J112" s="46"/>
    </row>
    <row r="113" spans="1:10" x14ac:dyDescent="0.2">
      <c r="A113" s="46"/>
      <c r="B113" s="46"/>
      <c r="C113" s="50">
        <v>10</v>
      </c>
      <c r="D113" s="48">
        <f>H44</f>
        <v>19.686883706166633</v>
      </c>
      <c r="E113" s="48">
        <f>H104</f>
        <v>20.740711010437909</v>
      </c>
      <c r="F113" s="48">
        <f>E113-D113</f>
        <v>1.0538273042712767</v>
      </c>
      <c r="G113" s="71">
        <f>F113/D113</f>
        <v>5.3529411764706082E-2</v>
      </c>
      <c r="H113" s="46"/>
      <c r="I113" s="46"/>
      <c r="J113" s="46"/>
    </row>
    <row r="114" spans="1:10" x14ac:dyDescent="0.2">
      <c r="A114" s="46"/>
      <c r="B114" s="46"/>
      <c r="C114" s="46"/>
      <c r="D114" s="46"/>
      <c r="E114" s="46"/>
      <c r="F114" s="46"/>
      <c r="G114" s="46"/>
      <c r="H114" s="46"/>
      <c r="I114" s="46"/>
      <c r="J114" s="46"/>
    </row>
    <row r="115" spans="1:10" ht="57.75" customHeight="1" x14ac:dyDescent="0.2">
      <c r="A115" s="176" t="s">
        <v>430</v>
      </c>
      <c r="B115" s="177"/>
      <c r="C115" s="177"/>
      <c r="D115" s="177"/>
      <c r="E115" s="177"/>
      <c r="F115" s="177"/>
      <c r="G115" s="177"/>
      <c r="H115" s="177"/>
      <c r="I115" s="177"/>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173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1.7378024084186303</v>
      </c>
      <c r="H9" s="9">
        <f t="shared" ref="H9:H14" si="1">B9/(C9+$D$5)^D9</f>
        <v>1.7378024084186303</v>
      </c>
      <c r="J9" s="29"/>
      <c r="K9" s="29"/>
      <c r="L9" s="30"/>
    </row>
    <row r="10" spans="1:12" x14ac:dyDescent="0.2">
      <c r="A10" s="31">
        <v>5</v>
      </c>
      <c r="B10" s="34">
        <v>253.32925</v>
      </c>
      <c r="C10" s="30">
        <v>33.549219999999998</v>
      </c>
      <c r="D10" s="30">
        <v>1.02275</v>
      </c>
      <c r="E10" s="29"/>
      <c r="F10" s="29"/>
      <c r="G10" s="9">
        <f t="shared" si="0"/>
        <v>2.034350516078812</v>
      </c>
      <c r="H10" s="9">
        <f t="shared" si="1"/>
        <v>2.034350516078812</v>
      </c>
      <c r="J10" s="29"/>
      <c r="K10" s="29"/>
      <c r="L10" s="30"/>
    </row>
    <row r="11" spans="1:12" x14ac:dyDescent="0.2">
      <c r="A11" s="31">
        <v>10</v>
      </c>
      <c r="B11" s="34">
        <v>262.87425000000002</v>
      </c>
      <c r="C11" s="30">
        <v>32.097470000000001</v>
      </c>
      <c r="D11" s="30">
        <v>1.01352</v>
      </c>
      <c r="E11" s="29"/>
      <c r="F11" s="29"/>
      <c r="G11" s="35">
        <f t="shared" si="0"/>
        <v>2.2343327095464702</v>
      </c>
      <c r="H11" s="118">
        <f t="shared" si="1"/>
        <v>2.2343327095464702</v>
      </c>
      <c r="J11" s="29"/>
      <c r="K11" s="29"/>
      <c r="L11" s="30"/>
    </row>
    <row r="12" spans="1:12" x14ac:dyDescent="0.2">
      <c r="A12" s="31">
        <v>25</v>
      </c>
      <c r="B12" s="34">
        <v>276.43448999999998</v>
      </c>
      <c r="C12" s="30">
        <v>30.083480000000002</v>
      </c>
      <c r="D12" s="30">
        <v>1.00054</v>
      </c>
      <c r="E12" s="29"/>
      <c r="F12" s="29"/>
      <c r="G12" s="9">
        <f t="shared" si="0"/>
        <v>2.5439576020277923</v>
      </c>
      <c r="H12" s="9">
        <f t="shared" si="1"/>
        <v>2.5439576020277923</v>
      </c>
      <c r="J12" s="29"/>
      <c r="K12" s="29"/>
      <c r="L12" s="30"/>
    </row>
    <row r="13" spans="1:12" x14ac:dyDescent="0.2">
      <c r="A13" s="31">
        <v>50</v>
      </c>
      <c r="B13" s="34">
        <v>285.47241000000002</v>
      </c>
      <c r="C13" s="30">
        <v>28.74568</v>
      </c>
      <c r="D13" s="30">
        <v>0.9919</v>
      </c>
      <c r="E13" s="29"/>
      <c r="F13" s="29"/>
      <c r="G13" s="9">
        <f t="shared" si="0"/>
        <v>2.7695808151847907</v>
      </c>
      <c r="H13" s="9">
        <f t="shared" si="1"/>
        <v>2.7695808151847907</v>
      </c>
    </row>
    <row r="14" spans="1:12" x14ac:dyDescent="0.2">
      <c r="A14" s="31">
        <v>100</v>
      </c>
      <c r="B14" s="34">
        <v>293.96606000000003</v>
      </c>
      <c r="C14" s="30">
        <v>27.46491</v>
      </c>
      <c r="D14" s="30">
        <v>0.98372999999999999</v>
      </c>
      <c r="E14" s="29"/>
      <c r="F14" s="29"/>
      <c r="G14" s="9">
        <f t="shared" si="0"/>
        <v>2.9982723806254059</v>
      </c>
      <c r="H14" s="9">
        <f t="shared" si="1"/>
        <v>2.9982723806254059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2.0969236488091232</v>
      </c>
      <c r="H9" s="9">
        <f t="shared" ref="H9:H14" si="1">B9/(C9+$D$5)^D9</f>
        <v>2.0969236488091232</v>
      </c>
      <c r="J9" s="29"/>
      <c r="K9" s="29"/>
      <c r="L9" s="30"/>
    </row>
    <row r="10" spans="1:12" x14ac:dyDescent="0.2">
      <c r="A10" s="31">
        <v>5</v>
      </c>
      <c r="B10" s="34">
        <v>269.50522000000001</v>
      </c>
      <c r="C10" s="30">
        <v>31.108280000000001</v>
      </c>
      <c r="D10" s="30">
        <v>1.0071600000000001</v>
      </c>
      <c r="E10" s="29"/>
      <c r="F10" s="29"/>
      <c r="G10" s="9">
        <f t="shared" si="0"/>
        <v>2.381754866869251</v>
      </c>
      <c r="H10" s="9">
        <f t="shared" si="1"/>
        <v>2.381754866869251</v>
      </c>
      <c r="J10" s="29"/>
      <c r="K10" s="29"/>
      <c r="L10" s="30"/>
    </row>
    <row r="11" spans="1:12" x14ac:dyDescent="0.2">
      <c r="A11" s="31">
        <v>10</v>
      </c>
      <c r="B11" s="34">
        <v>277.79628000000002</v>
      </c>
      <c r="C11" s="30">
        <v>28.882449999999999</v>
      </c>
      <c r="D11" s="30">
        <v>0.99924000000000002</v>
      </c>
      <c r="E11" s="29"/>
      <c r="F11" s="29"/>
      <c r="G11" s="35">
        <f t="shared" si="0"/>
        <v>2.6009083601615375</v>
      </c>
      <c r="H11" s="118">
        <f t="shared" si="1"/>
        <v>2.6009083601615375</v>
      </c>
      <c r="J11" s="29"/>
      <c r="K11" s="29"/>
      <c r="L11" s="30"/>
    </row>
    <row r="12" spans="1:12" x14ac:dyDescent="0.2">
      <c r="A12" s="31">
        <v>25</v>
      </c>
      <c r="B12" s="34">
        <v>288.37076999999999</v>
      </c>
      <c r="C12" s="30">
        <v>28.31259</v>
      </c>
      <c r="D12" s="30">
        <v>0.98912</v>
      </c>
      <c r="E12" s="29"/>
      <c r="F12" s="29"/>
      <c r="G12" s="9">
        <f t="shared" si="0"/>
        <v>2.845671798703699</v>
      </c>
      <c r="H12" s="9">
        <f t="shared" si="1"/>
        <v>2.845671798703699</v>
      </c>
      <c r="J12" s="29"/>
      <c r="K12" s="29"/>
      <c r="L12" s="30"/>
    </row>
    <row r="13" spans="1:12" x14ac:dyDescent="0.2">
      <c r="A13" s="31">
        <v>50</v>
      </c>
      <c r="B13" s="34">
        <v>295.59257000000002</v>
      </c>
      <c r="C13" s="30">
        <v>27.21407</v>
      </c>
      <c r="D13" s="30">
        <v>0.98214999999999997</v>
      </c>
      <c r="E13" s="29"/>
      <c r="F13" s="29"/>
      <c r="G13" s="9">
        <f t="shared" si="0"/>
        <v>3.044238480205907</v>
      </c>
      <c r="H13" s="9">
        <f t="shared" si="1"/>
        <v>3.044238480205907</v>
      </c>
    </row>
    <row r="14" spans="1:12" x14ac:dyDescent="0.2">
      <c r="A14" s="31">
        <v>100</v>
      </c>
      <c r="B14" s="34">
        <v>302.0052</v>
      </c>
      <c r="C14" s="30">
        <v>26.200060000000001</v>
      </c>
      <c r="D14" s="30">
        <v>0.97585999999999995</v>
      </c>
      <c r="E14" s="29"/>
      <c r="F14" s="29"/>
      <c r="G14" s="9">
        <f t="shared" si="0"/>
        <v>3.2330969717151881</v>
      </c>
      <c r="H14" s="9">
        <f t="shared" si="1"/>
        <v>3.2330969717151881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1.882980658634601</v>
      </c>
      <c r="H9" s="9">
        <f t="shared" ref="H9:H14" si="1">B9/(C9+$D$5)^D9</f>
        <v>1.882980658634601</v>
      </c>
      <c r="J9" s="29"/>
      <c r="K9" s="29"/>
      <c r="L9" s="30"/>
    </row>
    <row r="10" spans="1:12" x14ac:dyDescent="0.2">
      <c r="A10" s="31">
        <v>5</v>
      </c>
      <c r="B10" s="34">
        <v>258.82004999999998</v>
      </c>
      <c r="C10" s="30">
        <v>32.709200000000003</v>
      </c>
      <c r="D10" s="30">
        <v>1.01742</v>
      </c>
      <c r="E10" s="29"/>
      <c r="F10" s="29"/>
      <c r="G10" s="9">
        <f t="shared" si="0"/>
        <v>2.1477738459125266</v>
      </c>
      <c r="H10" s="9">
        <f t="shared" si="1"/>
        <v>2.1477738459125266</v>
      </c>
      <c r="J10" s="29"/>
      <c r="K10" s="29"/>
      <c r="L10" s="30"/>
    </row>
    <row r="11" spans="1:12" x14ac:dyDescent="0.2">
      <c r="A11" s="31">
        <v>10</v>
      </c>
      <c r="B11" s="34">
        <v>268.10935999999998</v>
      </c>
      <c r="C11" s="30">
        <v>31.315519999999999</v>
      </c>
      <c r="D11" s="30">
        <v>1.0085</v>
      </c>
      <c r="E11" s="29"/>
      <c r="F11" s="29"/>
      <c r="G11" s="35">
        <f t="shared" si="0"/>
        <v>2.3500694476729116</v>
      </c>
      <c r="H11" s="118">
        <f t="shared" si="1"/>
        <v>2.3500694476729116</v>
      </c>
      <c r="J11" s="29"/>
      <c r="K11" s="29"/>
      <c r="L11" s="30"/>
    </row>
    <row r="12" spans="1:12" x14ac:dyDescent="0.2">
      <c r="A12" s="31">
        <v>25</v>
      </c>
      <c r="B12" s="34">
        <v>280.32646</v>
      </c>
      <c r="C12" s="30">
        <v>29.508700000000001</v>
      </c>
      <c r="D12" s="30">
        <v>0.99682000000000004</v>
      </c>
      <c r="E12" s="29"/>
      <c r="F12" s="29"/>
      <c r="G12" s="9">
        <f t="shared" si="0"/>
        <v>2.6390869717238927</v>
      </c>
      <c r="H12" s="9">
        <f t="shared" si="1"/>
        <v>2.6390869717238927</v>
      </c>
      <c r="J12" s="29"/>
      <c r="K12" s="29"/>
      <c r="L12" s="30"/>
    </row>
    <row r="13" spans="1:12" x14ac:dyDescent="0.2">
      <c r="A13" s="31">
        <v>50</v>
      </c>
      <c r="B13" s="34">
        <v>288.72570999999999</v>
      </c>
      <c r="C13" s="30">
        <v>28.259239999999998</v>
      </c>
      <c r="D13" s="30">
        <v>0.98877999999999999</v>
      </c>
      <c r="E13" s="29"/>
      <c r="F13" s="29"/>
      <c r="G13" s="9">
        <f t="shared" si="0"/>
        <v>2.8551138001237928</v>
      </c>
      <c r="H13" s="9">
        <f t="shared" si="1"/>
        <v>2.8551138001237928</v>
      </c>
    </row>
    <row r="14" spans="1:12" x14ac:dyDescent="0.2">
      <c r="A14" s="31">
        <v>100</v>
      </c>
      <c r="B14" s="34">
        <v>296.68747999999999</v>
      </c>
      <c r="C14" s="30">
        <v>27.044270000000001</v>
      </c>
      <c r="D14" s="30">
        <v>0.98107999999999995</v>
      </c>
      <c r="E14" s="29"/>
      <c r="F14" s="29"/>
      <c r="G14" s="9">
        <f t="shared" si="0"/>
        <v>3.0756402286285836</v>
      </c>
      <c r="H14" s="9">
        <f t="shared" si="1"/>
        <v>3.0756402286285836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1.7703046938913292</v>
      </c>
      <c r="H9" s="9">
        <f t="shared" ref="H9:H14" si="1">B9/(C9+$D$5)^D9</f>
        <v>1.7703046938913292</v>
      </c>
      <c r="J9" s="29"/>
      <c r="K9" s="29"/>
      <c r="L9" s="30"/>
    </row>
    <row r="10" spans="1:12" x14ac:dyDescent="0.2">
      <c r="A10" s="31">
        <v>5</v>
      </c>
      <c r="B10" s="34">
        <v>254.10798</v>
      </c>
      <c r="C10" s="30">
        <v>33.429119999999998</v>
      </c>
      <c r="D10" s="30">
        <v>1.02199</v>
      </c>
      <c r="E10" s="29"/>
      <c r="F10" s="29"/>
      <c r="G10" s="9">
        <f t="shared" si="0"/>
        <v>2.0501826127788942</v>
      </c>
      <c r="H10" s="9">
        <f t="shared" si="1"/>
        <v>2.0501826127788942</v>
      </c>
      <c r="J10" s="29"/>
      <c r="K10" s="29"/>
      <c r="L10" s="30"/>
    </row>
    <row r="11" spans="1:12" x14ac:dyDescent="0.2">
      <c r="A11" s="31">
        <v>10</v>
      </c>
      <c r="B11" s="34">
        <v>264.19040000000001</v>
      </c>
      <c r="C11" s="30">
        <v>31.900130000000001</v>
      </c>
      <c r="D11" s="30">
        <v>1.0122500000000001</v>
      </c>
      <c r="E11" s="29"/>
      <c r="F11" s="29"/>
      <c r="G11" s="35">
        <f t="shared" si="0"/>
        <v>2.2630695894626625</v>
      </c>
      <c r="H11" s="118">
        <f t="shared" si="1"/>
        <v>2.2630695894626625</v>
      </c>
      <c r="J11" s="29"/>
      <c r="K11" s="29"/>
      <c r="L11" s="30"/>
    </row>
    <row r="12" spans="1:12" x14ac:dyDescent="0.2">
      <c r="A12" s="31">
        <v>25</v>
      </c>
      <c r="B12" s="34">
        <v>277.46460000000002</v>
      </c>
      <c r="C12" s="30">
        <v>29.93141</v>
      </c>
      <c r="D12" s="30">
        <v>0.99956</v>
      </c>
      <c r="E12" s="29"/>
      <c r="F12" s="29"/>
      <c r="G12" s="9">
        <f t="shared" si="0"/>
        <v>2.5687922664531149</v>
      </c>
      <c r="H12" s="9">
        <f t="shared" si="1"/>
        <v>2.5687922664531149</v>
      </c>
      <c r="J12" s="29"/>
      <c r="K12" s="29"/>
      <c r="L12" s="30"/>
    </row>
    <row r="13" spans="1:12" x14ac:dyDescent="0.2">
      <c r="A13" s="31">
        <v>50</v>
      </c>
      <c r="B13" s="34">
        <v>286.11426999999998</v>
      </c>
      <c r="C13" s="30">
        <v>28.650040000000001</v>
      </c>
      <c r="D13" s="30">
        <v>0.99129</v>
      </c>
      <c r="E13" s="29"/>
      <c r="F13" s="29"/>
      <c r="G13" s="9">
        <f t="shared" si="0"/>
        <v>2.7861998462846325</v>
      </c>
      <c r="H13" s="9">
        <f t="shared" si="1"/>
        <v>2.7861998462846325</v>
      </c>
    </row>
    <row r="14" spans="1:12" x14ac:dyDescent="0.2">
      <c r="A14" s="31">
        <v>100</v>
      </c>
      <c r="B14" s="34">
        <v>294.58067999999997</v>
      </c>
      <c r="C14" s="30">
        <v>27.370539999999998</v>
      </c>
      <c r="D14" s="30">
        <v>0.98312999999999995</v>
      </c>
      <c r="E14" s="29"/>
      <c r="F14" s="29"/>
      <c r="G14" s="9">
        <f t="shared" si="0"/>
        <v>3.015601074115112</v>
      </c>
      <c r="H14" s="9">
        <f t="shared" si="1"/>
        <v>3.015601074115112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1.7285945513438026</v>
      </c>
      <c r="H9" s="9">
        <f t="shared" ref="H9:H14" si="1">B9/(C9+$D$5)^D9</f>
        <v>1.7285945513438026</v>
      </c>
      <c r="J9" s="29"/>
      <c r="K9" s="29"/>
      <c r="L9" s="30"/>
    </row>
    <row r="10" spans="1:12" x14ac:dyDescent="0.2">
      <c r="A10" s="31">
        <v>5</v>
      </c>
      <c r="B10" s="34">
        <v>253.41210000000001</v>
      </c>
      <c r="C10" s="30">
        <v>33.536160000000002</v>
      </c>
      <c r="D10" s="30">
        <v>1.0226599999999999</v>
      </c>
      <c r="E10" s="29"/>
      <c r="F10" s="29"/>
      <c r="G10" s="9">
        <f t="shared" si="0"/>
        <v>2.0361231070613695</v>
      </c>
      <c r="H10" s="9">
        <f t="shared" si="1"/>
        <v>2.0361231070613695</v>
      </c>
      <c r="J10" s="29"/>
      <c r="K10" s="29"/>
      <c r="L10" s="30"/>
    </row>
    <row r="11" spans="1:12" x14ac:dyDescent="0.2">
      <c r="A11" s="31">
        <v>10</v>
      </c>
      <c r="B11" s="34">
        <v>263.81267000000003</v>
      </c>
      <c r="C11" s="30">
        <v>31.956610000000001</v>
      </c>
      <c r="D11" s="30">
        <v>1.0126200000000001</v>
      </c>
      <c r="E11" s="29"/>
      <c r="F11" s="29"/>
      <c r="G11" s="35">
        <f t="shared" si="0"/>
        <v>2.2547354053406989</v>
      </c>
      <c r="H11" s="118">
        <f t="shared" si="1"/>
        <v>2.2547354053406989</v>
      </c>
      <c r="J11" s="29"/>
      <c r="K11" s="29"/>
      <c r="L11" s="30"/>
    </row>
    <row r="12" spans="1:12" x14ac:dyDescent="0.2">
      <c r="A12" s="31">
        <v>25</v>
      </c>
      <c r="B12" s="34">
        <v>277.26485000000002</v>
      </c>
      <c r="C12" s="30">
        <v>29.960899999999999</v>
      </c>
      <c r="D12" s="30">
        <v>0.99975000000000003</v>
      </c>
      <c r="E12" s="29"/>
      <c r="F12" s="29"/>
      <c r="G12" s="9">
        <f t="shared" si="0"/>
        <v>2.5639609479935968</v>
      </c>
      <c r="H12" s="9">
        <f t="shared" si="1"/>
        <v>2.5639609479935968</v>
      </c>
      <c r="J12" s="29"/>
      <c r="K12" s="29"/>
      <c r="L12" s="30"/>
    </row>
    <row r="13" spans="1:12" x14ac:dyDescent="0.2">
      <c r="A13" s="31">
        <v>50</v>
      </c>
      <c r="B13" s="34">
        <v>286.66127999999998</v>
      </c>
      <c r="C13" s="30">
        <v>28.568349999999999</v>
      </c>
      <c r="D13" s="30">
        <v>0.99075999999999997</v>
      </c>
      <c r="E13" s="29"/>
      <c r="F13" s="29"/>
      <c r="G13" s="9">
        <f t="shared" si="0"/>
        <v>2.8005673604612995</v>
      </c>
      <c r="H13" s="9">
        <f t="shared" si="1"/>
        <v>2.8005673604612995</v>
      </c>
    </row>
    <row r="14" spans="1:12" x14ac:dyDescent="0.2">
      <c r="A14" s="31">
        <v>100</v>
      </c>
      <c r="B14" s="34">
        <v>295.16735</v>
      </c>
      <c r="C14" s="30">
        <v>27.279720000000001</v>
      </c>
      <c r="D14" s="30">
        <v>0.98255999999999999</v>
      </c>
      <c r="E14" s="29"/>
      <c r="F14" s="29"/>
      <c r="G14" s="9">
        <f t="shared" si="0"/>
        <v>3.0322045954646901</v>
      </c>
      <c r="H14" s="9">
        <f t="shared" si="1"/>
        <v>3.0322045954646901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10" t="s">
        <v>116</v>
      </c>
      <c r="B4" s="210"/>
      <c r="C4" s="210"/>
      <c r="D4" s="210"/>
      <c r="E4" s="210"/>
      <c r="K4" t="s">
        <v>133</v>
      </c>
    </row>
    <row r="5" spans="1:11" x14ac:dyDescent="0.2">
      <c r="A5" s="210"/>
      <c r="B5" s="210"/>
      <c r="C5" s="210"/>
      <c r="D5" s="210"/>
      <c r="E5" s="210"/>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7" t="s">
        <v>172</v>
      </c>
      <c r="C2" s="207"/>
      <c r="D2" s="207"/>
      <c r="E2" s="207"/>
      <c r="F2" s="207"/>
      <c r="G2" s="207"/>
      <c r="H2" s="207"/>
      <c r="I2" s="207"/>
      <c r="J2" s="207"/>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10" t="s">
        <v>227</v>
      </c>
      <c r="D3" s="210"/>
      <c r="E3" s="210"/>
      <c r="F3" s="210"/>
    </row>
    <row r="4" spans="1:6" x14ac:dyDescent="0.2">
      <c r="C4" s="37" t="s">
        <v>223</v>
      </c>
      <c r="D4" s="37" t="s">
        <v>224</v>
      </c>
      <c r="E4" s="37" t="s">
        <v>225</v>
      </c>
      <c r="F4" s="37" t="s">
        <v>226</v>
      </c>
    </row>
    <row r="5" spans="1:6" x14ac:dyDescent="0.2">
      <c r="A5" s="144"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4"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4" t="s">
        <v>238</v>
      </c>
    </row>
    <row r="15" spans="1:6" x14ac:dyDescent="0.2">
      <c r="A15" t="s">
        <v>239</v>
      </c>
      <c r="B15" t="s">
        <v>264</v>
      </c>
      <c r="C15" s="37">
        <v>63</v>
      </c>
      <c r="D15" s="37">
        <v>77</v>
      </c>
      <c r="E15" s="37">
        <v>85</v>
      </c>
      <c r="F15" s="37">
        <v>88</v>
      </c>
    </row>
    <row r="16" spans="1:6" ht="12.75" customHeight="1" x14ac:dyDescent="0.2">
      <c r="A16" t="s">
        <v>240</v>
      </c>
      <c r="B16" s="143" t="s">
        <v>265</v>
      </c>
      <c r="C16" s="37">
        <v>96</v>
      </c>
      <c r="D16" s="37">
        <v>96</v>
      </c>
      <c r="E16" s="37">
        <v>96</v>
      </c>
      <c r="F16" s="37">
        <v>96</v>
      </c>
    </row>
    <row r="17" spans="1:6" x14ac:dyDescent="0.2">
      <c r="A17" s="144"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4"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4" t="s">
        <v>259</v>
      </c>
    </row>
    <row r="28" spans="1:6" x14ac:dyDescent="0.2">
      <c r="A28" t="s">
        <v>260</v>
      </c>
      <c r="B28" t="s">
        <v>261</v>
      </c>
      <c r="C28" s="37">
        <v>77</v>
      </c>
      <c r="D28" s="37">
        <v>86</v>
      </c>
      <c r="E28" s="37">
        <v>91</v>
      </c>
      <c r="F28" s="37">
        <v>94</v>
      </c>
    </row>
    <row r="29" spans="1:6" x14ac:dyDescent="0.2">
      <c r="A29" s="144"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4"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4"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1" t="s">
        <v>401</v>
      </c>
      <c r="D3" s="211"/>
      <c r="E3" s="211"/>
      <c r="F3" s="211"/>
      <c r="G3" s="145"/>
      <c r="H3" s="145"/>
      <c r="I3" s="145"/>
      <c r="J3" s="145"/>
      <c r="K3" s="145"/>
      <c r="L3" s="145"/>
    </row>
    <row r="4" spans="3:12" x14ac:dyDescent="0.2">
      <c r="C4" s="212" t="s">
        <v>368</v>
      </c>
      <c r="D4" s="213"/>
      <c r="E4" s="213"/>
      <c r="F4" s="214"/>
      <c r="G4" s="119"/>
      <c r="H4" s="119"/>
      <c r="I4" s="119"/>
      <c r="J4" s="119"/>
      <c r="K4" s="119"/>
      <c r="L4" s="119"/>
    </row>
    <row r="5" spans="3:12" x14ac:dyDescent="0.2">
      <c r="C5" s="215" t="s">
        <v>6</v>
      </c>
      <c r="D5" s="148" t="s">
        <v>369</v>
      </c>
      <c r="E5" s="148" t="s">
        <v>370</v>
      </c>
      <c r="F5" s="152" t="s">
        <v>371</v>
      </c>
    </row>
    <row r="6" spans="3:12" x14ac:dyDescent="0.2">
      <c r="C6" s="215"/>
      <c r="D6" s="148" t="s">
        <v>403</v>
      </c>
      <c r="E6" s="148" t="s">
        <v>404</v>
      </c>
      <c r="F6" s="152" t="s">
        <v>405</v>
      </c>
    </row>
    <row r="7" spans="3:12" ht="6.75" customHeight="1" x14ac:dyDescent="0.2">
      <c r="C7" s="153"/>
      <c r="D7" s="149"/>
      <c r="E7" s="149"/>
      <c r="F7" s="154"/>
    </row>
    <row r="8" spans="3:12" x14ac:dyDescent="0.2">
      <c r="C8" s="126" t="s">
        <v>372</v>
      </c>
      <c r="D8" s="150">
        <v>0.9</v>
      </c>
      <c r="E8" s="150">
        <v>0.9</v>
      </c>
      <c r="F8" s="155">
        <v>0.9</v>
      </c>
      <c r="I8" s="3" t="s">
        <v>406</v>
      </c>
    </row>
    <row r="9" spans="3:12" x14ac:dyDescent="0.2">
      <c r="C9" s="126" t="s">
        <v>373</v>
      </c>
      <c r="D9" s="150">
        <v>0.5</v>
      </c>
      <c r="E9" s="150">
        <v>0.5</v>
      </c>
      <c r="F9" s="155">
        <v>0.5</v>
      </c>
      <c r="I9" s="3" t="s">
        <v>407</v>
      </c>
    </row>
    <row r="10" spans="3:12" x14ac:dyDescent="0.2">
      <c r="C10" s="126" t="s">
        <v>374</v>
      </c>
      <c r="D10" s="150">
        <v>0.75</v>
      </c>
      <c r="E10" s="150">
        <v>0.8</v>
      </c>
      <c r="F10" s="155">
        <v>0.85</v>
      </c>
      <c r="I10" s="3" t="s">
        <v>408</v>
      </c>
    </row>
    <row r="11" spans="3:12" x14ac:dyDescent="0.2">
      <c r="C11" s="126" t="s">
        <v>375</v>
      </c>
      <c r="D11" s="150">
        <v>0.5</v>
      </c>
      <c r="E11" s="150">
        <v>0.55000000000000004</v>
      </c>
      <c r="F11" s="155">
        <v>0.6</v>
      </c>
    </row>
    <row r="12" spans="3:12" x14ac:dyDescent="0.2">
      <c r="C12" s="126" t="s">
        <v>376</v>
      </c>
      <c r="D12" s="150">
        <v>0.8</v>
      </c>
      <c r="E12" s="150">
        <v>0.85</v>
      </c>
      <c r="F12" s="155">
        <v>0.85</v>
      </c>
    </row>
    <row r="13" spans="3:12" x14ac:dyDescent="0.2">
      <c r="C13" s="126" t="s">
        <v>377</v>
      </c>
      <c r="D13" s="150">
        <v>0.34</v>
      </c>
      <c r="E13" s="150">
        <v>0.45</v>
      </c>
      <c r="F13" s="155">
        <v>0.59</v>
      </c>
    </row>
    <row r="14" spans="3:12" x14ac:dyDescent="0.2">
      <c r="C14" s="126" t="s">
        <v>378</v>
      </c>
      <c r="D14" s="150">
        <v>0.35</v>
      </c>
      <c r="E14" s="150">
        <v>0.47</v>
      </c>
      <c r="F14" s="155">
        <v>0.61</v>
      </c>
    </row>
    <row r="15" spans="3:12" x14ac:dyDescent="0.2">
      <c r="C15" s="126" t="s">
        <v>379</v>
      </c>
      <c r="D15" s="150">
        <v>0.4</v>
      </c>
      <c r="E15" s="150">
        <v>0.53</v>
      </c>
      <c r="F15" s="155">
        <v>0.69</v>
      </c>
    </row>
    <row r="16" spans="3:12" ht="6.75" customHeight="1" x14ac:dyDescent="0.2">
      <c r="C16" s="156"/>
      <c r="D16" s="151"/>
      <c r="E16" s="151"/>
      <c r="F16" s="157"/>
    </row>
    <row r="17" spans="3:6" x14ac:dyDescent="0.2">
      <c r="C17" s="126" t="s">
        <v>380</v>
      </c>
      <c r="D17" s="150">
        <v>0.5</v>
      </c>
      <c r="E17" s="150">
        <v>0.6</v>
      </c>
      <c r="F17" s="155">
        <v>0.7</v>
      </c>
    </row>
    <row r="18" spans="3:6" x14ac:dyDescent="0.2">
      <c r="C18" s="126" t="s">
        <v>381</v>
      </c>
      <c r="D18" s="150">
        <v>0.45</v>
      </c>
      <c r="E18" s="150">
        <v>0.5</v>
      </c>
      <c r="F18" s="155">
        <v>0.55000000000000004</v>
      </c>
    </row>
    <row r="19" spans="3:6" x14ac:dyDescent="0.2">
      <c r="C19" s="126" t="s">
        <v>382</v>
      </c>
      <c r="D19" s="150">
        <v>0.6</v>
      </c>
      <c r="E19" s="150">
        <v>0.65</v>
      </c>
      <c r="F19" s="155">
        <v>0.7</v>
      </c>
    </row>
    <row r="20" spans="3:6" x14ac:dyDescent="0.2">
      <c r="C20" s="126" t="s">
        <v>383</v>
      </c>
      <c r="D20" s="150">
        <v>0.1</v>
      </c>
      <c r="E20" s="150">
        <v>0.15</v>
      </c>
      <c r="F20" s="155">
        <v>0.2</v>
      </c>
    </row>
    <row r="21" spans="3:6" x14ac:dyDescent="0.2">
      <c r="C21" s="126" t="s">
        <v>384</v>
      </c>
      <c r="D21" s="150">
        <v>0.17</v>
      </c>
      <c r="E21" s="150">
        <v>0.22</v>
      </c>
      <c r="F21" s="155">
        <v>0.35</v>
      </c>
    </row>
    <row r="22" spans="3:6" ht="6.75" customHeight="1" x14ac:dyDescent="0.2">
      <c r="C22" s="156"/>
      <c r="D22" s="151"/>
      <c r="E22" s="151"/>
      <c r="F22" s="157"/>
    </row>
    <row r="23" spans="3:6" x14ac:dyDescent="0.2">
      <c r="C23" s="126" t="s">
        <v>385</v>
      </c>
      <c r="D23" s="150">
        <v>0.25</v>
      </c>
      <c r="E23" s="150">
        <v>0.25</v>
      </c>
      <c r="F23" s="155">
        <v>0.25</v>
      </c>
    </row>
    <row r="24" spans="3:6" x14ac:dyDescent="0.2">
      <c r="C24" s="126" t="s">
        <v>386</v>
      </c>
      <c r="D24" s="150">
        <v>0.6</v>
      </c>
      <c r="E24" s="150">
        <v>0.6</v>
      </c>
      <c r="F24" s="155">
        <v>0.6</v>
      </c>
    </row>
    <row r="25" spans="3:6" x14ac:dyDescent="0.2">
      <c r="C25" s="126" t="s">
        <v>387</v>
      </c>
      <c r="D25" s="150">
        <v>0.3</v>
      </c>
      <c r="E25" s="150">
        <v>0.3</v>
      </c>
      <c r="F25" s="155">
        <v>0.3</v>
      </c>
    </row>
    <row r="26" spans="3:6" x14ac:dyDescent="0.2">
      <c r="C26" s="126" t="s">
        <v>388</v>
      </c>
      <c r="D26" s="150">
        <v>0.25</v>
      </c>
      <c r="E26" s="150">
        <v>0.3</v>
      </c>
      <c r="F26" s="155">
        <v>0.3</v>
      </c>
    </row>
    <row r="27" spans="3:6" x14ac:dyDescent="0.2">
      <c r="C27" s="126" t="s">
        <v>389</v>
      </c>
      <c r="D27" s="150">
        <v>0.5</v>
      </c>
      <c r="E27" s="150">
        <v>0.55000000000000004</v>
      </c>
      <c r="F27" s="155">
        <v>0.6</v>
      </c>
    </row>
    <row r="28" spans="3:6" ht="6.75" customHeight="1" x14ac:dyDescent="0.2">
      <c r="C28" s="156"/>
      <c r="D28" s="151"/>
      <c r="E28" s="151"/>
      <c r="F28" s="157"/>
    </row>
    <row r="29" spans="3:6" x14ac:dyDescent="0.2">
      <c r="C29" s="126" t="s">
        <v>390</v>
      </c>
      <c r="D29" s="150">
        <v>0.25</v>
      </c>
      <c r="E29" s="150">
        <v>0.3</v>
      </c>
      <c r="F29" s="155">
        <v>0.35</v>
      </c>
    </row>
    <row r="30" spans="3:6" x14ac:dyDescent="0.2">
      <c r="C30" s="126" t="s">
        <v>391</v>
      </c>
      <c r="D30" s="150">
        <v>0.5</v>
      </c>
      <c r="E30" s="150">
        <v>0.7</v>
      </c>
      <c r="F30" s="155">
        <v>0.8</v>
      </c>
    </row>
    <row r="31" spans="3:6" x14ac:dyDescent="0.2">
      <c r="C31" s="126" t="s">
        <v>392</v>
      </c>
      <c r="D31" s="150">
        <v>0.6</v>
      </c>
      <c r="E31" s="150">
        <v>0.8</v>
      </c>
      <c r="F31" s="155">
        <v>0.9</v>
      </c>
    </row>
    <row r="32" spans="3:6" x14ac:dyDescent="0.2">
      <c r="C32" s="126" t="s">
        <v>393</v>
      </c>
      <c r="D32" s="150">
        <v>0.1</v>
      </c>
      <c r="E32" s="150">
        <v>0.15</v>
      </c>
      <c r="F32" s="155">
        <v>0.25</v>
      </c>
    </row>
    <row r="33" spans="3:6" x14ac:dyDescent="0.2">
      <c r="C33" s="126" t="s">
        <v>394</v>
      </c>
      <c r="D33" s="150">
        <v>0.2</v>
      </c>
      <c r="E33" s="150">
        <v>0.25</v>
      </c>
      <c r="F33" s="155">
        <v>0.3</v>
      </c>
    </row>
    <row r="34" spans="3:6" ht="6.75" customHeight="1" x14ac:dyDescent="0.2">
      <c r="C34" s="156"/>
      <c r="D34" s="151"/>
      <c r="E34" s="151"/>
      <c r="F34" s="157"/>
    </row>
    <row r="35" spans="3:6" x14ac:dyDescent="0.2">
      <c r="C35" s="126" t="s">
        <v>395</v>
      </c>
      <c r="D35" s="150">
        <v>0.1</v>
      </c>
      <c r="E35" s="150">
        <v>0.15</v>
      </c>
      <c r="F35" s="155">
        <v>0.2</v>
      </c>
    </row>
    <row r="36" spans="3:6" x14ac:dyDescent="0.2">
      <c r="C36" s="126" t="s">
        <v>396</v>
      </c>
      <c r="D36" s="150">
        <v>0.25</v>
      </c>
      <c r="E36" s="150">
        <v>0.3</v>
      </c>
      <c r="F36" s="155">
        <v>0.35</v>
      </c>
    </row>
    <row r="37" spans="3:6" x14ac:dyDescent="0.2">
      <c r="C37" s="126" t="s">
        <v>397</v>
      </c>
      <c r="D37" s="150">
        <v>0.1</v>
      </c>
      <c r="E37" s="150">
        <v>0.2</v>
      </c>
      <c r="F37" s="155">
        <v>0.3</v>
      </c>
    </row>
    <row r="38" spans="3:6" ht="6.75" customHeight="1" x14ac:dyDescent="0.2">
      <c r="C38" s="156"/>
      <c r="D38" s="151"/>
      <c r="E38" s="151"/>
      <c r="F38" s="157"/>
    </row>
    <row r="39" spans="3:6" x14ac:dyDescent="0.2">
      <c r="C39" s="126" t="s">
        <v>398</v>
      </c>
      <c r="D39" s="150">
        <v>0.25</v>
      </c>
      <c r="E39" s="150">
        <v>0.3</v>
      </c>
      <c r="F39" s="158" t="s">
        <v>360</v>
      </c>
    </row>
    <row r="40" spans="3:6" ht="13.5" thickBot="1" x14ac:dyDescent="0.25">
      <c r="C40" s="159" t="s">
        <v>399</v>
      </c>
      <c r="D40" s="160">
        <v>0.6</v>
      </c>
      <c r="E40" s="160">
        <v>0.7</v>
      </c>
      <c r="F40" s="161">
        <v>0.75</v>
      </c>
    </row>
    <row r="41" spans="3:6" ht="38.25" customHeight="1" thickBot="1" x14ac:dyDescent="0.25">
      <c r="C41" s="216" t="s">
        <v>400</v>
      </c>
      <c r="D41" s="217"/>
      <c r="E41" s="217"/>
      <c r="F41" s="218"/>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3">
        <v>1.0999999999999999E-2</v>
      </c>
    </row>
    <row r="6" spans="3:4" x14ac:dyDescent="0.2">
      <c r="C6" s="3" t="s">
        <v>410</v>
      </c>
      <c r="D6" s="163">
        <v>0.2</v>
      </c>
    </row>
    <row r="7" spans="3:4" x14ac:dyDescent="0.2">
      <c r="C7" s="3" t="s">
        <v>411</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88"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419</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83" t="s">
        <v>423</v>
      </c>
      <c r="B6" s="184"/>
      <c r="C6" s="184"/>
      <c r="D6" s="184"/>
      <c r="E6" s="184"/>
      <c r="F6" s="184"/>
      <c r="G6" s="184"/>
      <c r="H6" s="184"/>
      <c r="I6" s="168"/>
      <c r="J6" s="168"/>
    </row>
    <row r="7" spans="1:35" ht="72.75" customHeight="1" x14ac:dyDescent="0.2">
      <c r="A7" s="184"/>
      <c r="B7" s="184"/>
      <c r="C7" s="184"/>
      <c r="D7" s="184"/>
      <c r="E7" s="184"/>
      <c r="F7" s="184"/>
      <c r="G7" s="184"/>
      <c r="H7" s="184"/>
      <c r="I7" s="169"/>
      <c r="J7" s="169"/>
    </row>
    <row r="8" spans="1:35" x14ac:dyDescent="0.2">
      <c r="A8" s="77"/>
      <c r="B8" s="77"/>
      <c r="C8" s="77"/>
      <c r="D8" s="77"/>
      <c r="E8" s="77"/>
      <c r="F8" s="77"/>
      <c r="G8" s="77"/>
      <c r="H8" s="77"/>
      <c r="I8" s="77"/>
    </row>
    <row r="9" spans="1:35" x14ac:dyDescent="0.2">
      <c r="A9" s="77" t="s">
        <v>1</v>
      </c>
      <c r="B9" s="77"/>
      <c r="D9" s="111">
        <v>15.75</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223</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9" t="s">
        <v>6</v>
      </c>
      <c r="F14" s="199"/>
      <c r="G14" s="77"/>
      <c r="H14" s="77"/>
      <c r="I14" s="77"/>
      <c r="W14" s="196" t="s">
        <v>362</v>
      </c>
      <c r="X14" s="197"/>
      <c r="Y14" s="197"/>
      <c r="Z14" s="197"/>
      <c r="AA14" s="197"/>
      <c r="AB14" s="197"/>
      <c r="AC14" s="197"/>
      <c r="AD14" s="197"/>
      <c r="AE14" s="197"/>
      <c r="AF14" s="197"/>
      <c r="AG14" s="197"/>
      <c r="AH14" s="197"/>
      <c r="AI14" s="198"/>
    </row>
    <row r="15" spans="1:35" x14ac:dyDescent="0.2">
      <c r="A15" s="77"/>
      <c r="B15" s="111">
        <v>7.85</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5" t="s">
        <v>235</v>
      </c>
      <c r="F15" s="185"/>
      <c r="G15" s="185"/>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5.4</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5" t="s">
        <v>314</v>
      </c>
      <c r="F16" s="185"/>
      <c r="G16" s="185"/>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54</v>
      </c>
      <c r="E17" s="185" t="s">
        <v>253</v>
      </c>
      <c r="F17" s="185"/>
      <c r="G17" s="185"/>
      <c r="H17" s="77"/>
      <c r="I17" s="77"/>
      <c r="W17" s="186" t="str">
        <f>IF(ISBLANK(E17),"",VLOOKUP(E17,'Curve Numbers'!$A$5:$F$93,2,FALSE))</f>
        <v>Average Impervious Area = 25%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89</v>
      </c>
      <c r="E18" s="185" t="s">
        <v>242</v>
      </c>
      <c r="F18" s="185"/>
      <c r="G18" s="185"/>
      <c r="H18" s="77"/>
      <c r="I18" s="77"/>
      <c r="W18" s="186" t="str">
        <f>IF(ISBLANK(E18),"",VLOOKUP(E18,'Curve Numbers'!$A$5:$F$93,2,FALSE))</f>
        <v>Average Impervious Area = 85%</v>
      </c>
      <c r="X18" s="187"/>
      <c r="Y18" s="187"/>
      <c r="Z18" s="187"/>
      <c r="AA18" s="187"/>
      <c r="AB18" s="187"/>
      <c r="AC18" s="187"/>
      <c r="AD18" s="187"/>
      <c r="AE18" s="187"/>
      <c r="AF18" s="187"/>
      <c r="AG18" s="187"/>
      <c r="AH18" s="187"/>
      <c r="AI18" s="188"/>
    </row>
    <row r="19" spans="1:35" x14ac:dyDescent="0.2">
      <c r="A19" s="77"/>
      <c r="B19" s="111">
        <v>2.5</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5" t="s">
        <v>231</v>
      </c>
      <c r="F19" s="185"/>
      <c r="G19" s="185"/>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5"/>
      <c r="F20" s="185"/>
      <c r="G20" s="185"/>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5"/>
      <c r="F21" s="185"/>
      <c r="G21" s="185"/>
      <c r="H21" s="77"/>
      <c r="I21" s="77"/>
      <c r="W21" s="186" t="str">
        <f>IF(ISBLANK(E21),"",VLOOKUP(E21,'Curve Numbers'!$A$5:$F$93,2,FALSE))</f>
        <v/>
      </c>
      <c r="X21" s="187"/>
      <c r="Y21" s="187"/>
      <c r="Z21" s="187"/>
      <c r="AA21" s="187"/>
      <c r="AB21" s="187"/>
      <c r="AC21" s="187"/>
      <c r="AD21" s="187"/>
      <c r="AE21" s="187"/>
      <c r="AF21" s="187"/>
      <c r="AG21" s="187"/>
      <c r="AH21" s="187"/>
      <c r="AI21" s="188"/>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5"/>
      <c r="F22" s="185"/>
      <c r="G22" s="185"/>
      <c r="H22" s="77"/>
      <c r="I22" s="77"/>
      <c r="W22" s="193" t="str">
        <f>IF(ISBLANK(E22),"",VLOOKUP(E22,'Curve Numbers'!$A$5:$F$93,2,FALSE))</f>
        <v/>
      </c>
      <c r="X22" s="194"/>
      <c r="Y22" s="194"/>
      <c r="Z22" s="194"/>
      <c r="AA22" s="194"/>
      <c r="AB22" s="194"/>
      <c r="AC22" s="194"/>
      <c r="AD22" s="194"/>
      <c r="AE22" s="194"/>
      <c r="AF22" s="194"/>
      <c r="AG22" s="194"/>
      <c r="AH22" s="194"/>
      <c r="AI22" s="195"/>
    </row>
    <row r="23" spans="1:35" x14ac:dyDescent="0.2">
      <c r="A23" s="77"/>
      <c r="B23" s="81"/>
      <c r="C23" s="77"/>
      <c r="D23" s="77"/>
      <c r="E23" s="77"/>
      <c r="F23" s="77"/>
      <c r="G23" s="77"/>
      <c r="H23" s="77"/>
      <c r="I23" s="77"/>
    </row>
    <row r="24" spans="1:35" x14ac:dyDescent="0.2">
      <c r="E24" s="75" t="s">
        <v>81</v>
      </c>
      <c r="G24" s="82">
        <f>((B15*D15)+(B16*D16)+(B17*D17)+(B22*D22)+(B21*D21)+(B18*D18)+(B19*D19)+(B20*D20))/(D9)</f>
        <v>57.844444444444441</v>
      </c>
    </row>
    <row r="26" spans="1:35" ht="13.5" x14ac:dyDescent="0.25">
      <c r="A26" s="83" t="s">
        <v>94</v>
      </c>
      <c r="B26" s="83"/>
      <c r="C26" s="83"/>
    </row>
    <row r="28" spans="1:35" ht="13.5" x14ac:dyDescent="0.25">
      <c r="B28" s="75" t="s">
        <v>95</v>
      </c>
      <c r="E28" s="84">
        <f>'tc-pre'!D48</f>
        <v>1.3050847551462363</v>
      </c>
      <c r="F28" s="75" t="s">
        <v>11</v>
      </c>
    </row>
    <row r="29" spans="1:35" x14ac:dyDescent="0.2">
      <c r="B29" s="75" t="s">
        <v>9</v>
      </c>
    </row>
    <row r="31" spans="1:35" x14ac:dyDescent="0.2">
      <c r="A31" s="83" t="s">
        <v>82</v>
      </c>
    </row>
    <row r="32" spans="1:35" x14ac:dyDescent="0.2">
      <c r="A32" s="97" t="s">
        <v>367</v>
      </c>
      <c r="B32" s="190" t="s">
        <v>159</v>
      </c>
      <c r="C32" s="190"/>
      <c r="D32" s="190"/>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7.2877449097195566</v>
      </c>
      <c r="F43" s="75" t="s">
        <v>85</v>
      </c>
      <c r="G43" s="77"/>
    </row>
    <row r="45" spans="1:9" ht="13.5" x14ac:dyDescent="0.25">
      <c r="C45" s="75" t="s">
        <v>97</v>
      </c>
      <c r="E45" s="87">
        <f>0.2*E43</f>
        <v>1.4575489819439114</v>
      </c>
      <c r="F45" s="75" t="s">
        <v>85</v>
      </c>
    </row>
    <row r="46" spans="1:9" x14ac:dyDescent="0.2">
      <c r="A46" s="76" t="str">
        <f>A2</f>
        <v>Lexington County I-20 Widening - Outfall #20</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7.2877449097195566</v>
      </c>
      <c r="E56" s="90" t="s">
        <v>22</v>
      </c>
      <c r="F56" s="91">
        <f>((C56-0.2*D56)^2)/(C56+0.8*D56)</f>
        <v>0.48674453849361987</v>
      </c>
      <c r="G56" s="75" t="s">
        <v>85</v>
      </c>
      <c r="H56" s="82"/>
    </row>
    <row r="57" spans="1:22" ht="14.25" customHeight="1" x14ac:dyDescent="0.2">
      <c r="B57" s="90">
        <v>10</v>
      </c>
      <c r="C57" s="86">
        <f>F36</f>
        <v>5.3</v>
      </c>
      <c r="D57" s="86">
        <f>$E$43</f>
        <v>7.2877449097195566</v>
      </c>
      <c r="E57" s="90" t="s">
        <v>22</v>
      </c>
      <c r="F57" s="91">
        <f>((C57-0.2*D57)^2)/(C57+0.8*D57)</f>
        <v>1.3265202088056076</v>
      </c>
      <c r="G57" s="75" t="s">
        <v>85</v>
      </c>
      <c r="H57" s="82"/>
    </row>
    <row r="58" spans="1:22" x14ac:dyDescent="0.2">
      <c r="B58" s="90">
        <v>25</v>
      </c>
      <c r="C58" s="86">
        <f>F37</f>
        <v>6.4</v>
      </c>
      <c r="D58" s="86">
        <f>$E$43</f>
        <v>7.2877449097195566</v>
      </c>
      <c r="E58" s="90" t="s">
        <v>22</v>
      </c>
      <c r="F58" s="91">
        <f>(C58-0.2*D58)^2/(C58+0.8*D58)</f>
        <v>1.9973369363941544</v>
      </c>
      <c r="G58" s="75" t="s">
        <v>85</v>
      </c>
      <c r="H58" s="82"/>
    </row>
    <row r="59" spans="1:22" x14ac:dyDescent="0.2">
      <c r="B59" s="90">
        <v>50</v>
      </c>
      <c r="C59" s="86">
        <f>F38</f>
        <v>7.3</v>
      </c>
      <c r="D59" s="86">
        <f>$E$43</f>
        <v>7.2877449097195566</v>
      </c>
      <c r="E59" s="90" t="s">
        <v>22</v>
      </c>
      <c r="F59" s="91">
        <f>(C59-0.2*D59)^2/(C59+0.8*D59)</f>
        <v>2.5996743754734837</v>
      </c>
      <c r="G59" s="75" t="s">
        <v>85</v>
      </c>
      <c r="H59" s="82"/>
    </row>
    <row r="60" spans="1:22" x14ac:dyDescent="0.2">
      <c r="B60" s="90">
        <v>100</v>
      </c>
      <c r="C60" s="86">
        <f>F39</f>
        <v>8.3000000000000007</v>
      </c>
      <c r="D60" s="86">
        <f>$E$43</f>
        <v>7.2877449097195566</v>
      </c>
      <c r="E60" s="90" t="s">
        <v>22</v>
      </c>
      <c r="F60" s="91">
        <f>(C60-0.2*D60)^2/(C60+0.8*D60)</f>
        <v>3.3134102438356643</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9" t="s">
        <v>126</v>
      </c>
      <c r="L64" s="189"/>
      <c r="M64" s="189"/>
      <c r="N64" s="189" t="s">
        <v>127</v>
      </c>
      <c r="O64" s="189"/>
      <c r="P64" s="189"/>
      <c r="Q64" s="189" t="s">
        <v>128</v>
      </c>
      <c r="R64" s="189"/>
      <c r="S64" s="189"/>
      <c r="T64" s="189" t="s">
        <v>129</v>
      </c>
      <c r="U64" s="189"/>
      <c r="V64" s="189"/>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1.4575489819439114</v>
      </c>
      <c r="E66" s="86">
        <f>IF(D66/C66&gt;0.5,0.5,D66/C66)</f>
        <v>0.40487471720664203</v>
      </c>
      <c r="F66" s="91">
        <f>IF($A$63='Rainfall Distribution Coef.'!$K$2,10^(K66+(L66*LOG($E$28))+(M66*(LOG($E$28))^2)),IF($A$63='Rainfall Distribution Coef.'!$K$3,10^(N66+(O66*LOG($E$28))+(P66*(LOG($E$28))^2)),IF($A$63='Rainfall Distribution Coef.'!$K$4,10^(Q66+(R66*LOG($E$28))+(S66*(LOG($E$28))^2)),IF($A$63='Rainfall Distribution Coef.'!$K$5,10^(T66+(U66*LOG($E$28))+(V66*(LOG($E$28))^2)),"UPDATE"))))</f>
        <v>193.8626917692531</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1.8661951709565883</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-0.30652669057070869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5.2371824817518141E-2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1.6781178806505312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-0.14201568916207788</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1.2523243479745576E-2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2.3570986805822343</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-0.59578946130533139</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-5.2953688905963137E-2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2.3015565808682288</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-0.46031397063217644</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-0.11134362658470996</v>
      </c>
    </row>
    <row r="67" spans="1:22" ht="12.75" x14ac:dyDescent="0.2">
      <c r="B67" s="90">
        <v>10</v>
      </c>
      <c r="C67" s="86">
        <f>F36</f>
        <v>5.3</v>
      </c>
      <c r="D67" s="86">
        <f>$E$45</f>
        <v>1.4575489819439114</v>
      </c>
      <c r="E67" s="86">
        <f>IF(D67/C67&gt;0.5,0.5,D67/C67)</f>
        <v>0.27500924187620968</v>
      </c>
      <c r="F67" s="91">
        <f>IF($A$63='Rainfall Distribution Coef.'!$K$2,10^(K67+(L67*LOG($E$28))+(M67*(LOG($E$28))^2)),IF($A$63='Rainfall Distribution Coef.'!$K$3,10^(N67+(O67*LOG($E$28))+(P67*(LOG($E$28))^2)),IF($A$63='Rainfall Distribution Coef.'!$K$4,10^(Q67+(R67*LOG($E$28))+(S67*(LOG($E$28))^2)),IF($A$63='Rainfall Distribution Coef.'!$K$5,10^(T67+(U67*LOG($E$28))+(V67*(LOG($E$28))^2)),"UPDATE"))))</f>
        <v>252.80230429798993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2.1442009615900375</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-0.47090983748794929</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-4.7113061199341777E-2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1.782474325922919</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-0.22683443283874183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1.8966700251532576E-4</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2.4763046877333124</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-0.62163909425988872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-0.12250030690277544</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2.4058876969606913</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-0.51282720148739847</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-0.13724572648395539</v>
      </c>
    </row>
    <row r="68" spans="1:22" ht="12.75" customHeight="1" x14ac:dyDescent="0.2">
      <c r="A68" s="92"/>
      <c r="B68" s="90">
        <v>25</v>
      </c>
      <c r="C68" s="86">
        <f>F37</f>
        <v>6.4</v>
      </c>
      <c r="D68" s="86">
        <f>$E$45</f>
        <v>1.4575489819439114</v>
      </c>
      <c r="E68" s="86">
        <f>IF(D68/C68&gt;0.5,0.5,D68/C68)</f>
        <v>0.22774202842873614</v>
      </c>
      <c r="F68" s="91">
        <f>IF($A$63='Rainfall Distribution Coef.'!$K$2,10^(K68+(L68*LOG($E$28))+(M68*(LOG($E$28))^2)),IF($A$63='Rainfall Distribution Coef.'!$K$3,10^(N68+(O68*LOG($E$28))+(P68*(LOG($E$28))^2)),IF($A$63='Rainfall Distribution Coef.'!$K$4,10^(Q68+(R68*LOG($E$28))+(S68*(LOG($E$28))^2)),IF($A$63='Rainfall Distribution Coef.'!$K$5,10^(T68+(U68*LOG($E$28))+(V68*(LOG($E$28))^2)),"UPDATE"))))</f>
        <v>265.22285562184624</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2.2058635785631964</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-0.49333357760276603</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-7.6306730695351488E-2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1.8746381713407605</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-0.2673246600076834</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-4.5659401651940011E-2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2.497080991404149</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-0.61987839055897043</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-0.13371681665386093</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2.4240595771705724</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-0.51435393248175187</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-0.14631630474452556</v>
      </c>
    </row>
    <row r="69" spans="1:22" ht="12.75" x14ac:dyDescent="0.2">
      <c r="B69" s="90">
        <v>50</v>
      </c>
      <c r="C69" s="86">
        <f>F38</f>
        <v>7.3</v>
      </c>
      <c r="D69" s="86">
        <f>$E$45</f>
        <v>1.4575489819439114</v>
      </c>
      <c r="E69" s="86">
        <f>IF(D69/C69&gt;0.5,0.5,D69/C69)</f>
        <v>0.19966424410190567</v>
      </c>
      <c r="F69" s="91">
        <f>IF($A$63='Rainfall Distribution Coef.'!$K$2,10^(K69+(L69*LOG($E$28))+(M69*(LOG($E$28))^2)),IF($A$63='Rainfall Distribution Coef.'!$K$3,10^(N69+(O69*LOG($E$28))+(P69*(LOG($E$28))^2)),IF($A$63='Rainfall Distribution Coef.'!$K$4,10^(Q69+(R69*LOG($E$28))+(S69*(LOG($E$28))^2)),IF($A$63='Rainfall Distribution Coef.'!$K$5,10^(T69+(U69*LOG($E$28))+(V69*(LOG($E$28))^2)),"UPDATE"))))</f>
        <v>272.88796661681448</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2.2356054656113336</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-0.50390498576458143</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-8.9384716738852399E-2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1.920158464048332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-0.2822630825864782</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-7.0425896568237861E-2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2.5094225815050075</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-0.61883249309279598</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-0.14037967487461778</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2.4348540813550223</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-0.5152608449155085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-0.15170443155684432</v>
      </c>
    </row>
    <row r="70" spans="1:22" ht="12.75" x14ac:dyDescent="0.2">
      <c r="B70" s="90">
        <v>100</v>
      </c>
      <c r="C70" s="86">
        <f>F39</f>
        <v>8.3000000000000007</v>
      </c>
      <c r="D70" s="86">
        <f>$E$45</f>
        <v>1.4575489819439114</v>
      </c>
      <c r="E70" s="86">
        <f>IF(D70/C70&gt;0.5,0.5,D70/C70)</f>
        <v>0.17560831107757965</v>
      </c>
      <c r="F70" s="91">
        <f>IF($A$63='Rainfall Distribution Coef.'!$K$2,10^(K70+(L70*LOG($E$28))+(M70*(LOG($E$28))^2)),IF($A$63='Rainfall Distribution Coef.'!$K$3,10^(N70+(O70*LOG($E$28))+(P70*(LOG($E$28))^2)),IF($A$63='Rainfall Distribution Coef.'!$K$4,10^(Q70+(R70*LOG($E$28))+(S70*(LOG($E$28))^2)),IF($A$63='Rainfall Distribution Coef.'!$K$5,10^(T70+(U70*LOG($E$28))+(V70*(LOG($E$28))^2)),"UPDATE"))))</f>
        <v>279.63109097013603</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2.2524758914412932</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-0.50641161398571621</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-9.6170895445014781E-2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1.9472743117533522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-0.29036512082907118</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-8.6610728307004406E-2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2.51999636686585</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-0.61793640958763985</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-0.14608814778129034</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2.4441023848062247</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-0.51603785155219417</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-0.15632076510421247</v>
      </c>
    </row>
    <row r="71" spans="1:22" x14ac:dyDescent="0.2">
      <c r="E71" s="91"/>
    </row>
    <row r="72" spans="1:22" x14ac:dyDescent="0.2">
      <c r="A72" s="83" t="s">
        <v>90</v>
      </c>
      <c r="B72" s="83"/>
      <c r="C72" s="83"/>
    </row>
    <row r="73" spans="1:22" ht="12" customHeight="1" x14ac:dyDescent="0.2"/>
    <row r="74" spans="1:22" ht="13.5" x14ac:dyDescent="0.25">
      <c r="B74" s="171">
        <v>0</v>
      </c>
      <c r="C74" s="75" t="s">
        <v>91</v>
      </c>
      <c r="D74" s="96">
        <f>B74/D9</f>
        <v>0</v>
      </c>
      <c r="E74" s="97" t="s">
        <v>102</v>
      </c>
      <c r="F74" s="172">
        <v>1</v>
      </c>
    </row>
    <row r="76" spans="1:22" ht="12.75" x14ac:dyDescent="0.25">
      <c r="A76" s="192" t="s">
        <v>103</v>
      </c>
      <c r="B76" s="192"/>
      <c r="C76" s="192"/>
      <c r="D76" s="192"/>
      <c r="E76" s="192"/>
      <c r="F76" s="192"/>
      <c r="G76" s="192"/>
      <c r="H76" s="192"/>
      <c r="I76" s="192"/>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193.8626917692531</v>
      </c>
      <c r="D81" s="86">
        <f>$D$9/640</f>
        <v>2.4609374999999999E-2</v>
      </c>
      <c r="E81" s="91">
        <f>F56</f>
        <v>0.48674453849361987</v>
      </c>
      <c r="F81" s="99">
        <f>$F$74</f>
        <v>1</v>
      </c>
      <c r="G81" s="91">
        <f>F81*E81*D81*C81</f>
        <v>2.3221801583946982</v>
      </c>
      <c r="H81" s="82" t="s">
        <v>33</v>
      </c>
    </row>
    <row r="82" spans="1:10" x14ac:dyDescent="0.2">
      <c r="B82" s="90">
        <v>10</v>
      </c>
      <c r="C82" s="91">
        <f>F67</f>
        <v>252.80230429798993</v>
      </c>
      <c r="D82" s="86">
        <f>$D$9/640</f>
        <v>2.4609374999999999E-2</v>
      </c>
      <c r="E82" s="91">
        <f>F57</f>
        <v>1.3265202088056076</v>
      </c>
      <c r="F82" s="99">
        <f>$F$74</f>
        <v>1</v>
      </c>
      <c r="G82" s="91">
        <f>F82*E82*D82*C82</f>
        <v>8.2526890724555582</v>
      </c>
      <c r="H82" s="82" t="s">
        <v>33</v>
      </c>
    </row>
    <row r="83" spans="1:10" x14ac:dyDescent="0.2">
      <c r="B83" s="90">
        <v>25</v>
      </c>
      <c r="C83" s="91">
        <f>F68</f>
        <v>265.22285562184624</v>
      </c>
      <c r="D83" s="86">
        <f>$D$9/640</f>
        <v>2.4609374999999999E-2</v>
      </c>
      <c r="E83" s="91">
        <f>F58</f>
        <v>1.9973369363941544</v>
      </c>
      <c r="F83" s="99">
        <f>$F$74</f>
        <v>1</v>
      </c>
      <c r="G83" s="91">
        <f>F83*E83*D83*C83</f>
        <v>13.036555692302809</v>
      </c>
      <c r="H83" s="82" t="s">
        <v>33</v>
      </c>
    </row>
    <row r="84" spans="1:10" x14ac:dyDescent="0.2">
      <c r="B84" s="90">
        <v>50</v>
      </c>
      <c r="C84" s="91">
        <f>F69</f>
        <v>272.88796661681448</v>
      </c>
      <c r="D84" s="86">
        <f>$D$9/640</f>
        <v>2.4609374999999999E-2</v>
      </c>
      <c r="E84" s="91">
        <f>F59</f>
        <v>2.5996743754734837</v>
      </c>
      <c r="F84" s="99">
        <f>$F$74</f>
        <v>1</v>
      </c>
      <c r="G84" s="91">
        <f>F84*E84*D84*C84</f>
        <v>17.458379224177403</v>
      </c>
      <c r="H84" s="82" t="s">
        <v>33</v>
      </c>
    </row>
    <row r="85" spans="1:10" x14ac:dyDescent="0.2">
      <c r="B85" s="90">
        <v>100</v>
      </c>
      <c r="C85" s="91">
        <f>F70</f>
        <v>279.63109097013603</v>
      </c>
      <c r="D85" s="86">
        <f>$D$9/640</f>
        <v>2.4609374999999999E-2</v>
      </c>
      <c r="E85" s="91">
        <f>F60</f>
        <v>3.3134102438356643</v>
      </c>
      <c r="F85" s="99">
        <f>$F$74</f>
        <v>1</v>
      </c>
      <c r="G85" s="91">
        <f>F85*E85*D85*C85</f>
        <v>22.801386266745954</v>
      </c>
      <c r="H85" s="82" t="s">
        <v>33</v>
      </c>
    </row>
    <row r="86" spans="1:10" x14ac:dyDescent="0.2">
      <c r="B86" s="90"/>
      <c r="C86" s="91"/>
      <c r="D86" s="86"/>
      <c r="E86" s="91"/>
      <c r="F86" s="99"/>
      <c r="G86" s="91"/>
      <c r="H86" s="82"/>
    </row>
    <row r="87" spans="1:10" ht="28.5" customHeight="1" x14ac:dyDescent="0.2">
      <c r="A87" s="176" t="s">
        <v>420</v>
      </c>
      <c r="B87" s="177"/>
      <c r="C87" s="177"/>
      <c r="D87" s="177"/>
      <c r="E87" s="177"/>
      <c r="F87" s="177"/>
      <c r="G87" s="177"/>
      <c r="H87" s="177"/>
      <c r="I87" s="168"/>
      <c r="J87" s="168"/>
    </row>
    <row r="88" spans="1:10" ht="12.75" x14ac:dyDescent="0.2">
      <c r="A88" s="100"/>
      <c r="B88" s="100"/>
      <c r="C88" s="100"/>
      <c r="D88" s="100"/>
      <c r="E88" s="100"/>
      <c r="F88" s="100"/>
      <c r="G88" s="100"/>
      <c r="H88" s="100"/>
      <c r="I88" s="100"/>
      <c r="J88" s="100"/>
    </row>
    <row r="89" spans="1:10" x14ac:dyDescent="0.2">
      <c r="A89" s="76" t="str">
        <f>A46</f>
        <v>Lexington County I-20 Widening - Outfall #20</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83" t="s">
        <v>421</v>
      </c>
      <c r="B94" s="184"/>
      <c r="C94" s="184"/>
      <c r="D94" s="184"/>
      <c r="E94" s="184"/>
      <c r="F94" s="184"/>
      <c r="G94" s="184"/>
      <c r="H94" s="184"/>
      <c r="I94" s="168"/>
      <c r="J94" s="168"/>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15.75</v>
      </c>
      <c r="E98" s="75" t="s">
        <v>114</v>
      </c>
    </row>
    <row r="99" spans="1:35" ht="12.75" customHeight="1" x14ac:dyDescent="0.2"/>
    <row r="100" spans="1:35" ht="12.75" customHeight="1" x14ac:dyDescent="0.2">
      <c r="A100" s="75" t="s">
        <v>113</v>
      </c>
      <c r="D100" s="124">
        <f>B106-B15</f>
        <v>1.370000000000001</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223</v>
      </c>
    </row>
    <row r="104" spans="1:35" ht="12.75" customHeight="1" thickBot="1" x14ac:dyDescent="0.25">
      <c r="A104" s="147"/>
    </row>
    <row r="105" spans="1:35" ht="12.75" customHeight="1" x14ac:dyDescent="0.2">
      <c r="B105" s="51" t="s">
        <v>2</v>
      </c>
      <c r="C105" s="51"/>
      <c r="D105" s="51" t="s">
        <v>79</v>
      </c>
      <c r="E105" s="199" t="s">
        <v>6</v>
      </c>
      <c r="F105" s="199"/>
      <c r="W105" s="196" t="s">
        <v>362</v>
      </c>
      <c r="X105" s="197"/>
      <c r="Y105" s="197"/>
      <c r="Z105" s="197"/>
      <c r="AA105" s="197"/>
      <c r="AB105" s="197"/>
      <c r="AC105" s="197"/>
      <c r="AD105" s="197"/>
      <c r="AE105" s="197"/>
      <c r="AF105" s="197"/>
      <c r="AG105" s="197"/>
      <c r="AH105" s="197"/>
      <c r="AI105" s="198"/>
    </row>
    <row r="106" spans="1:35" ht="12.75" customHeight="1" x14ac:dyDescent="0.2">
      <c r="B106" s="111">
        <v>9.2200000000000006</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5" t="s">
        <v>235</v>
      </c>
      <c r="F106" s="185"/>
      <c r="G106" s="185"/>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5.4</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5" t="s">
        <v>314</v>
      </c>
      <c r="F107" s="185"/>
      <c r="G107" s="185"/>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54</v>
      </c>
      <c r="E108" s="185" t="s">
        <v>253</v>
      </c>
      <c r="F108" s="185"/>
      <c r="G108" s="185"/>
      <c r="W108" s="186" t="str">
        <f>IF(ISBLANK(E108),"",VLOOKUP(E108,'Curve Numbers'!$A$5:$F$93,2,FALSE))</f>
        <v>Average Impervious Area = 25%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89</v>
      </c>
      <c r="E109" s="185" t="s">
        <v>242</v>
      </c>
      <c r="F109" s="185"/>
      <c r="G109" s="185"/>
      <c r="W109" s="186" t="str">
        <f>IF(ISBLANK(E109),"",VLOOKUP(E109,'Curve Numbers'!$A$5:$F$93,2,FALSE))</f>
        <v>Average Impervious Area = 85%</v>
      </c>
      <c r="X109" s="187"/>
      <c r="Y109" s="187"/>
      <c r="Z109" s="187"/>
      <c r="AA109" s="187"/>
      <c r="AB109" s="187"/>
      <c r="AC109" s="187"/>
      <c r="AD109" s="187"/>
      <c r="AE109" s="187"/>
      <c r="AF109" s="187"/>
      <c r="AG109" s="187"/>
      <c r="AH109" s="187"/>
      <c r="AI109" s="188"/>
    </row>
    <row r="110" spans="1:35" ht="12.75" customHeight="1" x14ac:dyDescent="0.2">
      <c r="B110" s="111">
        <v>1.1299999999999999</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5" t="s">
        <v>231</v>
      </c>
      <c r="F110" s="185"/>
      <c r="G110" s="185"/>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5"/>
      <c r="F111" s="185"/>
      <c r="G111" s="185"/>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5"/>
      <c r="F112" s="185"/>
      <c r="G112" s="185"/>
      <c r="W112" s="186" t="str">
        <f>IF(ISBLANK(E112),"",VLOOKUP(E112,'Curve Numbers'!$A$5:$F$93,2,FALSE))</f>
        <v/>
      </c>
      <c r="X112" s="187"/>
      <c r="Y112" s="187"/>
      <c r="Z112" s="187"/>
      <c r="AA112" s="187"/>
      <c r="AB112" s="187"/>
      <c r="AC112" s="187"/>
      <c r="AD112" s="187"/>
      <c r="AE112" s="187"/>
      <c r="AF112" s="187"/>
      <c r="AG112" s="187"/>
      <c r="AH112" s="187"/>
      <c r="AI112" s="188"/>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5"/>
      <c r="F113" s="185"/>
      <c r="G113" s="185"/>
      <c r="W113" s="193" t="str">
        <f>IF(ISBLANK(E113),"",VLOOKUP(E113,'Curve Numbers'!$A$5:$F$93,2,FALSE))</f>
        <v/>
      </c>
      <c r="X113" s="194"/>
      <c r="Y113" s="194"/>
      <c r="Z113" s="194"/>
      <c r="AA113" s="194"/>
      <c r="AB113" s="194"/>
      <c r="AC113" s="194"/>
      <c r="AD113" s="194"/>
      <c r="AE113" s="194"/>
      <c r="AF113" s="194"/>
      <c r="AG113" s="194"/>
      <c r="AH113" s="194"/>
      <c r="AI113" s="195"/>
    </row>
    <row r="114" spans="1:35" x14ac:dyDescent="0.2">
      <c r="B114" s="79"/>
      <c r="C114" s="51"/>
      <c r="D114" s="79"/>
      <c r="E114" s="51"/>
      <c r="F114" s="51"/>
    </row>
    <row r="115" spans="1:35" x14ac:dyDescent="0.2">
      <c r="E115" s="75" t="s">
        <v>81</v>
      </c>
      <c r="G115" s="82">
        <f>((B106*D106)+(B107*D107)+(B108*D108)+(B113*D113)+(B112*D112)+(B109*D109)+(B110*D110)+(B111*D111))/(D98)</f>
        <v>61.671746031746039</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1.3050847551462363</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1" t="str">
        <f>B32</f>
        <v>Lexington, SC</v>
      </c>
      <c r="C123" s="191"/>
      <c r="D123" s="191"/>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6.214880627593093</v>
      </c>
      <c r="F134" s="75" t="s">
        <v>85</v>
      </c>
    </row>
    <row r="136" spans="1:9" ht="13.5" x14ac:dyDescent="0.25">
      <c r="C136" s="75" t="s">
        <v>97</v>
      </c>
      <c r="E136" s="87">
        <f>0.2*E134</f>
        <v>1.2429761255186187</v>
      </c>
      <c r="F136" s="75" t="s">
        <v>85</v>
      </c>
    </row>
    <row r="137" spans="1:9" s="76" customFormat="1" x14ac:dyDescent="0.2">
      <c r="A137" s="76" t="str">
        <f>A2</f>
        <v>Lexington County I-20 Widening - Outfall #20</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6.214880627593093</v>
      </c>
      <c r="E147" s="90" t="s">
        <v>22</v>
      </c>
      <c r="F147" s="91">
        <f>((C147-0.2*D147)^2)/(C147+0.8*D147)</f>
        <v>0.64811286027868487</v>
      </c>
      <c r="G147" s="75" t="s">
        <v>85</v>
      </c>
      <c r="H147" s="82"/>
    </row>
    <row r="148" spans="1:22" x14ac:dyDescent="0.2">
      <c r="B148" s="90">
        <v>10</v>
      </c>
      <c r="C148" s="86">
        <f>F127</f>
        <v>5.3</v>
      </c>
      <c r="D148" s="86">
        <f>$E$134</f>
        <v>6.214880627593093</v>
      </c>
      <c r="E148" s="90" t="s">
        <v>22</v>
      </c>
      <c r="F148" s="91">
        <f>((C148-0.2*D148)^2)/(C148+0.8*D148)</f>
        <v>1.6023749748440348</v>
      </c>
      <c r="G148" s="75" t="s">
        <v>85</v>
      </c>
      <c r="H148" s="82"/>
    </row>
    <row r="149" spans="1:22" x14ac:dyDescent="0.2">
      <c r="B149" s="90">
        <v>25</v>
      </c>
      <c r="C149" s="86">
        <f>F128</f>
        <v>6.4</v>
      </c>
      <c r="D149" s="86">
        <f>$E$134</f>
        <v>6.214880627593093</v>
      </c>
      <c r="E149" s="90" t="s">
        <v>22</v>
      </c>
      <c r="F149" s="91">
        <f>(C149-0.2*D149)^2/(C149+0.8*D149)</f>
        <v>2.3386491890711443</v>
      </c>
      <c r="G149" s="75" t="s">
        <v>85</v>
      </c>
      <c r="H149" s="82"/>
    </row>
    <row r="150" spans="1:22" x14ac:dyDescent="0.2">
      <c r="B150" s="90">
        <v>50</v>
      </c>
      <c r="C150" s="86">
        <f>F129</f>
        <v>7.3</v>
      </c>
      <c r="D150" s="86">
        <f>$E$134</f>
        <v>6.214880627593093</v>
      </c>
      <c r="E150" s="90" t="s">
        <v>22</v>
      </c>
      <c r="F150" s="91">
        <f>(C150-0.2*D150)^2/(C150+0.8*D150)</f>
        <v>2.9895553872535174</v>
      </c>
      <c r="G150" s="75" t="s">
        <v>85</v>
      </c>
      <c r="H150" s="82"/>
    </row>
    <row r="151" spans="1:22" x14ac:dyDescent="0.2">
      <c r="B151" s="90">
        <v>100</v>
      </c>
      <c r="C151" s="86">
        <f>F130</f>
        <v>8.3000000000000007</v>
      </c>
      <c r="D151" s="86">
        <f>$E$134</f>
        <v>6.214880627593093</v>
      </c>
      <c r="E151" s="90" t="s">
        <v>22</v>
      </c>
      <c r="F151" s="91">
        <f>(C151-0.2*D151)^2/(C151+0.8*D151)</f>
        <v>3.7524068951231486</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9" t="s">
        <v>126</v>
      </c>
      <c r="L155" s="189"/>
      <c r="M155" s="189"/>
      <c r="N155" s="189" t="s">
        <v>127</v>
      </c>
      <c r="O155" s="189"/>
      <c r="P155" s="189"/>
      <c r="Q155" s="189" t="s">
        <v>128</v>
      </c>
      <c r="R155" s="189"/>
      <c r="S155" s="189"/>
      <c r="T155" s="189" t="s">
        <v>129</v>
      </c>
      <c r="U155" s="189"/>
      <c r="V155" s="189"/>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1.2429761255186187</v>
      </c>
      <c r="E157" s="86">
        <f>IF(D157/C157&gt;0.5,0.5,D157/C157)</f>
        <v>0.34527114597739406</v>
      </c>
      <c r="F157" s="91">
        <f>IF($A$63='Rainfall Distribution Coef.'!$K$2,10^(K157+(L157*LOG($E$119))+(M157*(LOG($E$119))^2)),IF($A$63='Rainfall Distribution Coef.'!$K$3,10^(N157+(O157*LOG($E$119))+(P157*(LOG($E$119))^2)),IF($A$63='Rainfall Distribution Coef.'!$K$4,10^(Q157+(R157*LOG($E$119))+(S157*(LOG($E$119))^2)),IF($A$63='Rainfall Distribution Coef.'!$K$5,10^(T157+(U157*LOG($E$119))+(V157*(LOG($E$119))^2)),"UPDATE"))))</f>
        <v>224.30050614054582</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2.012791300473463</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-0.41234886698307138</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1.5273276263816936E-2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1.705654730558444</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-0.17398108441232354</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2.0370053632076071E-2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2.4233445934497606</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-0.61656704604339763</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-9.0883151772426604E-2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2.3586958946095673</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-0.4987374457702326</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-0.12104167121369669</v>
      </c>
    </row>
    <row r="158" spans="1:22" ht="12.75" x14ac:dyDescent="0.2">
      <c r="B158" s="90">
        <v>10</v>
      </c>
      <c r="C158" s="86">
        <f>F127</f>
        <v>5.3</v>
      </c>
      <c r="D158" s="86">
        <f>$E$136</f>
        <v>1.2429761255186187</v>
      </c>
      <c r="E158" s="86">
        <f>IF(D158/C158&gt;0.5,0.5,D158/C158)</f>
        <v>0.23452379726766392</v>
      </c>
      <c r="F158" s="91">
        <f>IF($A$63='Rainfall Distribution Coef.'!$K$2,10^(K158+(L158*LOG($E$119))+(M158*(LOG($E$119))^2)),IF($A$63='Rainfall Distribution Coef.'!$K$3,10^(N158+(O158*LOG($E$119))+(P158*(LOG($E$119))^2)),IF($A$63='Rainfall Distribution Coef.'!$K$4,10^(Q158+(R158*LOG($E$119))+(S158*(LOG($E$119))^2)),IF($A$63='Rainfall Distribution Coef.'!$K$5,10^(T158+(U158*LOG($E$119))+(V158*(LOG($E$119))^2)),"UPDATE"))))</f>
        <v>263.40397692566097</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2.1986504892261127</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-0.49075786179774122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-7.3132862878733287E-2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1.8636028770860573</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-0.26370048274016039</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-3.9660248937024495E-2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2.4941000649109983</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-0.62013101144822047</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-0.13210750290838336</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2.4214523261404466</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-0.51413488134825447</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-0.14501488330433532</v>
      </c>
    </row>
    <row r="159" spans="1:22" ht="12.75" x14ac:dyDescent="0.2">
      <c r="A159" s="92"/>
      <c r="B159" s="90">
        <v>25</v>
      </c>
      <c r="C159" s="86">
        <f>F128</f>
        <v>6.4</v>
      </c>
      <c r="D159" s="86">
        <f>$E$136</f>
        <v>1.2429761255186187</v>
      </c>
      <c r="E159" s="86">
        <f>IF(D159/C159&gt;0.5,0.5,D159/C159)</f>
        <v>0.19421501961228416</v>
      </c>
      <c r="F159" s="91">
        <f>IF($A$63='Rainfall Distribution Coef.'!$K$2,10^(K159+(L159*LOG($E$119))+(M159*(LOG($E$119))^2)),IF($A$63='Rainfall Distribution Coef.'!$K$3,10^(N159+(O159*LOG($E$119))+(P159*(LOG($E$119))^2)),IF($A$63='Rainfall Distribution Coef.'!$K$4,10^(Q159+(R159*LOG($E$119))+(S159*(LOG($E$119))^2)),IF($A$63='Rainfall Distribution Coef.'!$K$5,10^(T159+(U159*LOG($E$119))+(V159*(LOG($E$119))^2)),"UPDATE"))))</f>
        <v>274.40105254280246</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2.2394270067459052</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-0.50447279495640007</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-9.092194296737463E-2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1.9263008298930333</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-0.28409838139458271</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-7.4092134804855228E-2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2.5118177881294206</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-0.61862950948055762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-0.14167277584600496</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2.4369490357100574</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-0.51543685486652324</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-0.15275013773640267</v>
      </c>
    </row>
    <row r="160" spans="1:22" ht="12.75" x14ac:dyDescent="0.2">
      <c r="B160" s="90">
        <v>50</v>
      </c>
      <c r="C160" s="86">
        <f>F129</f>
        <v>7.3</v>
      </c>
      <c r="D160" s="86">
        <f>$E$136</f>
        <v>1.2429761255186187</v>
      </c>
      <c r="E160" s="86">
        <f>IF(D160/C160&gt;0.5,0.5,D160/C160)</f>
        <v>0.17027070212583817</v>
      </c>
      <c r="F160" s="91">
        <f>IF($A$63='Rainfall Distribution Coef.'!$K$2,10^(K160+(L160*LOG($E$119))+(M160*(LOG($E$119))^2)),IF($A$63='Rainfall Distribution Coef.'!$K$3,10^(N160+(O160*LOG($E$119))+(P160*(LOG($E$119))^2)),IF($A$63='Rainfall Distribution Coef.'!$K$4,10^(Q160+(R160*LOG($E$119))+(S160*(LOG($E$119))^2)),IF($A$63='Rainfall Distribution Coef.'!$K$5,10^(T160+(U160*LOG($E$119))+(V160*(LOG($E$119))^2)),"UPDATE"))))</f>
        <v>281.14972140986237</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2.2562191565991498</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-0.5069677928384877</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-9.7676634930301043E-2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1.9532908645637552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-0.29216282752401773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-9.0201871609736084E-2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2.5223425128805879</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-0.61773758365418741</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-0.1473547623855386</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2.4461544285677217</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-0.51621025632133544</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-0.15734505226205167</v>
      </c>
    </row>
    <row r="161" spans="1:22" ht="12.75" x14ac:dyDescent="0.2">
      <c r="B161" s="90">
        <v>100</v>
      </c>
      <c r="C161" s="86">
        <f>F130</f>
        <v>8.3000000000000007</v>
      </c>
      <c r="D161" s="86">
        <f>$E$136</f>
        <v>1.2429761255186187</v>
      </c>
      <c r="E161" s="86">
        <f>IF(D161/C161&gt;0.5,0.5,D161/C161)</f>
        <v>0.14975615970103839</v>
      </c>
      <c r="F161" s="91">
        <f>IF($A$63='Rainfall Distribution Coef.'!$K$2,10^(K161+(L161*LOG($E$119))+(M161*(LOG($E$119))^2)),IF($A$63='Rainfall Distribution Coef.'!$K$3,10^(N161+(O161*LOG($E$119))+(P161*(LOG($E$119))^2)),IF($A$63='Rainfall Distribution Coef.'!$K$4,10^(Q161+(R161*LOG($E$119))+(S161*(LOG($E$119))^2)),IF($A$63='Rainfall Distribution Coef.'!$K$5,10^(T161+(U161*LOG($E$119))+(V161*(LOG($E$119))^2)),"UPDATE"))))</f>
        <v>287.06357830439953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2.2706060052016617</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-0.50910540815915184</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-0.10346378734833707</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1.9764148567849897</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-0.29907212541269029</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-0.10400405575314137</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2.5313596800034088</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-0.61697341694886365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-0.1522228633029436</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2.4540412444029358</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-0.51687287604165655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-0.16128179295337075</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224.30050614054582</v>
      </c>
      <c r="D172" s="86">
        <f>$D$98/640</f>
        <v>2.4609374999999999E-2</v>
      </c>
      <c r="E172" s="91">
        <f>F147</f>
        <v>0.64811286027868487</v>
      </c>
      <c r="F172" s="99">
        <f>$F$165</f>
        <v>1</v>
      </c>
      <c r="G172" s="91">
        <f>F172*E172*D172*C172</f>
        <v>3.5775151107783079</v>
      </c>
      <c r="H172" s="82" t="s">
        <v>33</v>
      </c>
    </row>
    <row r="173" spans="1:22" x14ac:dyDescent="0.2">
      <c r="B173" s="90">
        <v>10</v>
      </c>
      <c r="C173" s="91">
        <f>F158</f>
        <v>263.40397692566097</v>
      </c>
      <c r="D173" s="86">
        <f>$D$98/640</f>
        <v>2.4609374999999999E-2</v>
      </c>
      <c r="E173" s="91">
        <f>F148</f>
        <v>1.6023749748440348</v>
      </c>
      <c r="F173" s="99">
        <f>$F$165</f>
        <v>1</v>
      </c>
      <c r="G173" s="91">
        <f>F173*E173*D173*C173</f>
        <v>10.386926670587776</v>
      </c>
      <c r="H173" s="82" t="s">
        <v>33</v>
      </c>
    </row>
    <row r="174" spans="1:22" x14ac:dyDescent="0.2">
      <c r="B174" s="90">
        <v>25</v>
      </c>
      <c r="C174" s="91">
        <f>F159</f>
        <v>274.40105254280246</v>
      </c>
      <c r="D174" s="86">
        <f>$D$98/640</f>
        <v>2.4609374999999999E-2</v>
      </c>
      <c r="E174" s="91">
        <f>F149</f>
        <v>2.3386491890711443</v>
      </c>
      <c r="F174" s="99">
        <f>$F$165</f>
        <v>1</v>
      </c>
      <c r="G174" s="91">
        <f>F174*E174*D174*C174</f>
        <v>15.792520053749252</v>
      </c>
      <c r="H174" s="82" t="s">
        <v>33</v>
      </c>
    </row>
    <row r="175" spans="1:22" x14ac:dyDescent="0.2">
      <c r="B175" s="90">
        <v>50</v>
      </c>
      <c r="C175" s="91">
        <f>F160</f>
        <v>281.14972140986237</v>
      </c>
      <c r="D175" s="86">
        <f>$D$98/640</f>
        <v>2.4609374999999999E-2</v>
      </c>
      <c r="E175" s="91">
        <f>F150</f>
        <v>2.9895553872535174</v>
      </c>
      <c r="F175" s="99">
        <f>$F$165</f>
        <v>1</v>
      </c>
      <c r="G175" s="91">
        <f>F175*E175*D175*C175</f>
        <v>20.68449134716321</v>
      </c>
      <c r="H175" s="82" t="s">
        <v>33</v>
      </c>
    </row>
    <row r="176" spans="1:22" x14ac:dyDescent="0.2">
      <c r="B176" s="90">
        <v>100</v>
      </c>
      <c r="C176" s="91">
        <f>F161</f>
        <v>287.06357830439953</v>
      </c>
      <c r="D176" s="86">
        <f>$D$98/640</f>
        <v>2.4609374999999999E-2</v>
      </c>
      <c r="E176" s="91">
        <f>F151</f>
        <v>3.7524068951231486</v>
      </c>
      <c r="F176" s="99">
        <f>$F$165</f>
        <v>1</v>
      </c>
      <c r="G176" s="91">
        <f>F176*E176*D176*C176</f>
        <v>26.508710580388129</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2.3221801583946982</v>
      </c>
      <c r="D181" s="105">
        <f>G172</f>
        <v>3.5775151107783079</v>
      </c>
      <c r="E181" s="79">
        <f>D181-C181</f>
        <v>1.2553349523836097</v>
      </c>
      <c r="F181" s="106">
        <f>E181/D181</f>
        <v>0.35089577919644477</v>
      </c>
    </row>
    <row r="182" spans="1:10" x14ac:dyDescent="0.2">
      <c r="A182" s="77"/>
      <c r="B182" s="51">
        <v>10</v>
      </c>
      <c r="C182" s="105">
        <f>G82</f>
        <v>8.2526890724555582</v>
      </c>
      <c r="D182" s="105">
        <f>G173</f>
        <v>10.386926670587776</v>
      </c>
      <c r="E182" s="79">
        <f>D182-C182</f>
        <v>2.1342375981322181</v>
      </c>
      <c r="F182" s="106">
        <f>E182/C182</f>
        <v>0.25861117260015509</v>
      </c>
    </row>
    <row r="183" spans="1:10" x14ac:dyDescent="0.2">
      <c r="A183" s="77"/>
      <c r="B183" s="174">
        <v>25</v>
      </c>
      <c r="C183" s="105">
        <f>G83</f>
        <v>13.036555692302809</v>
      </c>
      <c r="D183" s="105">
        <f>G174</f>
        <v>15.792520053749252</v>
      </c>
      <c r="E183" s="79">
        <f t="shared" ref="E183:E185" si="0">D183-C183</f>
        <v>2.7559643614464431</v>
      </c>
      <c r="F183" s="106">
        <f t="shared" ref="F183:F185" si="1">E183/C183</f>
        <v>0.21140279890597566</v>
      </c>
    </row>
    <row r="184" spans="1:10" x14ac:dyDescent="0.2">
      <c r="A184" s="77"/>
      <c r="B184" s="174">
        <v>50</v>
      </c>
      <c r="C184" s="105">
        <f>G84</f>
        <v>17.458379224177403</v>
      </c>
      <c r="D184" s="105">
        <f>G175</f>
        <v>20.68449134716321</v>
      </c>
      <c r="E184" s="79">
        <f t="shared" si="0"/>
        <v>3.226112122985807</v>
      </c>
      <c r="F184" s="106">
        <f t="shared" si="1"/>
        <v>0.18478875281378324</v>
      </c>
    </row>
    <row r="185" spans="1:10" x14ac:dyDescent="0.2">
      <c r="A185" s="77"/>
      <c r="B185" s="51">
        <v>100</v>
      </c>
      <c r="C185" s="105">
        <f>G85</f>
        <v>22.801386266745954</v>
      </c>
      <c r="D185" s="105">
        <f>G176</f>
        <v>26.508710580388129</v>
      </c>
      <c r="E185" s="79">
        <f t="shared" si="0"/>
        <v>3.7073243136421752</v>
      </c>
      <c r="F185" s="106">
        <f t="shared" si="1"/>
        <v>0.16259205779295177</v>
      </c>
    </row>
    <row r="186" spans="1:10" ht="69" customHeight="1" x14ac:dyDescent="0.2">
      <c r="A186" s="183" t="s">
        <v>422</v>
      </c>
      <c r="B186" s="184"/>
      <c r="C186" s="184"/>
      <c r="D186" s="184"/>
      <c r="E186" s="184"/>
      <c r="F186" s="184"/>
      <c r="G186" s="184"/>
      <c r="H186" s="184"/>
      <c r="I186" s="166"/>
      <c r="J186" s="166"/>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H27" sqref="H27"/>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0" t="s">
        <v>413</v>
      </c>
      <c r="B1" s="200"/>
      <c r="C1" s="200"/>
      <c r="D1" s="200"/>
      <c r="E1" s="170" t="s">
        <v>415</v>
      </c>
      <c r="F1" s="3" t="s">
        <v>416</v>
      </c>
    </row>
    <row r="2" spans="1:7" x14ac:dyDescent="0.2">
      <c r="A2" s="1"/>
      <c r="B2" s="1"/>
    </row>
    <row r="3" spans="1:7" x14ac:dyDescent="0.2">
      <c r="A3" s="3" t="s">
        <v>35</v>
      </c>
      <c r="B3" s="167" t="s">
        <v>418</v>
      </c>
      <c r="D3" s="3" t="s">
        <v>36</v>
      </c>
      <c r="E3" s="4"/>
    </row>
    <row r="4" spans="1:7" x14ac:dyDescent="0.2">
      <c r="A4" s="3" t="s">
        <v>37</v>
      </c>
      <c r="B4" s="122">
        <v>17</v>
      </c>
      <c r="C4" s="4" t="str">
        <f>IF(E1="Yes","",IF(E1="No","Pre-Construction","Update"))</f>
        <v>Pre-Construction</v>
      </c>
      <c r="D4" s="3" t="s">
        <v>38</v>
      </c>
      <c r="E4" s="175" t="s">
        <v>428</v>
      </c>
    </row>
    <row r="6" spans="1:7" x14ac:dyDescent="0.2">
      <c r="A6" s="200" t="s">
        <v>39</v>
      </c>
      <c r="B6" s="200"/>
      <c r="C6" s="203" t="s">
        <v>429</v>
      </c>
      <c r="D6" s="179"/>
    </row>
    <row r="7" spans="1:7" x14ac:dyDescent="0.2">
      <c r="A7" s="200" t="s">
        <v>412</v>
      </c>
      <c r="B7" s="200"/>
      <c r="C7" s="179" t="s">
        <v>159</v>
      </c>
      <c r="D7" s="179"/>
    </row>
    <row r="9" spans="1:7" x14ac:dyDescent="0.2">
      <c r="A9" s="2" t="s">
        <v>40</v>
      </c>
    </row>
    <row r="10" spans="1:7" x14ac:dyDescent="0.2">
      <c r="A10" s="2"/>
    </row>
    <row r="11" spans="1:7" x14ac:dyDescent="0.2">
      <c r="C11" s="10" t="s">
        <v>41</v>
      </c>
      <c r="D11" s="3">
        <v>1</v>
      </c>
      <c r="E11" s="8"/>
      <c r="G11" s="8"/>
    </row>
    <row r="12" spans="1:7" x14ac:dyDescent="0.2">
      <c r="A12" s="11" t="s">
        <v>42</v>
      </c>
      <c r="D12" s="165" t="s">
        <v>80</v>
      </c>
      <c r="E12" s="8"/>
      <c r="F12" s="121"/>
      <c r="G12" s="8"/>
    </row>
    <row r="13" spans="1:7" x14ac:dyDescent="0.2">
      <c r="A13" s="11" t="s">
        <v>43</v>
      </c>
      <c r="D13" s="164">
        <f>VLOOKUP(D12,'Tc - Mannings n'!$C$5:$D$8,2,FALSE)</f>
        <v>0.8</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v>3.0000000000000001E-3</v>
      </c>
      <c r="E16" s="15"/>
      <c r="F16" s="140">
        <v>9.9999999999999995E-7</v>
      </c>
      <c r="G16" s="15"/>
    </row>
    <row r="17" spans="1:9" x14ac:dyDescent="0.2">
      <c r="A17" s="11"/>
      <c r="D17" s="11"/>
      <c r="E17" s="16"/>
      <c r="F17" s="11"/>
      <c r="G17" s="16"/>
    </row>
    <row r="18" spans="1:9" x14ac:dyDescent="0.2">
      <c r="A18" s="11" t="s">
        <v>47</v>
      </c>
      <c r="D18" s="12">
        <f>((0.007*(D13*D14)^0.8)/(((D15)^0.5)*((D16)^0.4)))</f>
        <v>1.2547877706187753</v>
      </c>
      <c r="E18" s="16"/>
      <c r="F18" s="12">
        <f>((0.007*(F13*F14)^0.8)/(((F15)^0.5)*((F16)^0.4)))</f>
        <v>0</v>
      </c>
      <c r="G18" s="16"/>
    </row>
    <row r="19" spans="1:9" x14ac:dyDescent="0.2">
      <c r="D19" s="17"/>
      <c r="E19" s="16"/>
      <c r="F19" s="17"/>
      <c r="G19" s="16"/>
    </row>
    <row r="20" spans="1:9" x14ac:dyDescent="0.2">
      <c r="D20" s="201" t="s">
        <v>48</v>
      </c>
      <c r="E20" s="202"/>
      <c r="F20" s="202"/>
      <c r="G20" s="202"/>
      <c r="H20" s="18">
        <f>D18+F18</f>
        <v>1.2547877706187753</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635</v>
      </c>
      <c r="F25" s="140">
        <v>0</v>
      </c>
    </row>
    <row r="26" spans="1:9" x14ac:dyDescent="0.2">
      <c r="A26" s="11" t="s">
        <v>54</v>
      </c>
      <c r="D26" s="140">
        <f>30/D25</f>
        <v>4.7244094488188976E-2</v>
      </c>
      <c r="E26" s="21"/>
      <c r="F26" s="140">
        <v>1</v>
      </c>
      <c r="G26" s="21"/>
      <c r="H26" s="21"/>
      <c r="I26" s="21"/>
    </row>
    <row r="27" spans="1:9" x14ac:dyDescent="0.2">
      <c r="A27" s="11" t="s">
        <v>55</v>
      </c>
      <c r="D27" s="12">
        <f>(16.1345*(D26^0.5))</f>
        <v>3.5069475942953376</v>
      </c>
      <c r="E27" s="5"/>
      <c r="F27" s="12">
        <f>(20.3282*(F26^0.5))</f>
        <v>20.328199999999999</v>
      </c>
      <c r="G27" s="5"/>
    </row>
    <row r="28" spans="1:9" x14ac:dyDescent="0.2">
      <c r="A28" s="11"/>
      <c r="D28" s="12"/>
      <c r="E28" s="17"/>
      <c r="F28" s="12"/>
      <c r="G28" s="17"/>
    </row>
    <row r="29" spans="1:9" x14ac:dyDescent="0.2">
      <c r="A29" s="11" t="s">
        <v>56</v>
      </c>
      <c r="D29" s="12">
        <f>(D25)/((3600*(D27)))</f>
        <v>5.0296984527460918E-2</v>
      </c>
      <c r="E29" s="17"/>
      <c r="F29" s="12">
        <f>(F25)/((3600*(F27)))</f>
        <v>0</v>
      </c>
      <c r="G29" s="17"/>
    </row>
    <row r="30" spans="1:9" x14ac:dyDescent="0.2">
      <c r="D30" s="17"/>
      <c r="E30" s="17"/>
      <c r="F30" s="17"/>
      <c r="G30" s="17"/>
    </row>
    <row r="31" spans="1:9" x14ac:dyDescent="0.2">
      <c r="D31" s="201" t="s">
        <v>57</v>
      </c>
      <c r="E31" s="202"/>
      <c r="F31" s="202"/>
      <c r="G31" s="202"/>
      <c r="H31" s="22">
        <f>D29</f>
        <v>5.0296984527460918E-2</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1" t="s">
        <v>68</v>
      </c>
      <c r="E45" s="202"/>
      <c r="F45" s="202"/>
      <c r="G45" s="202"/>
      <c r="H45" s="18">
        <f>D43+F43</f>
        <v>0</v>
      </c>
    </row>
    <row r="46" spans="1:8" x14ac:dyDescent="0.2">
      <c r="D46" s="25"/>
      <c r="E46" s="26"/>
      <c r="F46" s="25"/>
      <c r="G46" s="25"/>
    </row>
    <row r="48" spans="1:8" x14ac:dyDescent="0.2">
      <c r="B48" s="1" t="s">
        <v>69</v>
      </c>
      <c r="C48" s="1"/>
      <c r="D48" s="27">
        <f>H45+H20+H31</f>
        <v>1.3050847551462363</v>
      </c>
      <c r="E48" s="1" t="s">
        <v>70</v>
      </c>
      <c r="F48" s="27">
        <f>D48*60</f>
        <v>78.305085308774181</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H23" sqref="H23"/>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418</v>
      </c>
      <c r="D2" s="3" t="s">
        <v>36</v>
      </c>
      <c r="E2" s="4"/>
    </row>
    <row r="3" spans="1:7" x14ac:dyDescent="0.2">
      <c r="A3" s="3" t="s">
        <v>37</v>
      </c>
      <c r="B3" s="122">
        <v>17</v>
      </c>
      <c r="C3" s="3" t="s">
        <v>112</v>
      </c>
      <c r="D3" s="3" t="s">
        <v>38</v>
      </c>
      <c r="E3" s="175" t="s">
        <v>428</v>
      </c>
    </row>
    <row r="5" spans="1:7" x14ac:dyDescent="0.2">
      <c r="A5" s="200" t="s">
        <v>39</v>
      </c>
      <c r="B5" s="200"/>
      <c r="C5" s="203" t="s">
        <v>429</v>
      </c>
      <c r="D5" s="179"/>
    </row>
    <row r="6" spans="1:7" x14ac:dyDescent="0.2">
      <c r="A6" s="200" t="s">
        <v>412</v>
      </c>
      <c r="B6" s="200"/>
      <c r="C6" s="181" t="str">
        <f>'tc-pre'!C7:D7</f>
        <v>Lexington, SC</v>
      </c>
      <c r="D6" s="181"/>
    </row>
    <row r="8" spans="1:7" x14ac:dyDescent="0.2">
      <c r="A8" s="2" t="s">
        <v>40</v>
      </c>
    </row>
    <row r="9" spans="1:7" x14ac:dyDescent="0.2">
      <c r="A9" s="2"/>
    </row>
    <row r="10" spans="1:7" x14ac:dyDescent="0.2">
      <c r="C10" s="10" t="s">
        <v>41</v>
      </c>
      <c r="D10" s="3">
        <v>1</v>
      </c>
      <c r="E10" s="8"/>
      <c r="G10" s="8"/>
    </row>
    <row r="11" spans="1:7" x14ac:dyDescent="0.2">
      <c r="A11" s="11" t="s">
        <v>42</v>
      </c>
      <c r="D11" s="165" t="s">
        <v>80</v>
      </c>
      <c r="E11" s="8"/>
      <c r="G11" s="8"/>
    </row>
    <row r="12" spans="1:7" x14ac:dyDescent="0.2">
      <c r="A12" s="11" t="s">
        <v>43</v>
      </c>
      <c r="D12" s="164">
        <f>VLOOKUP(D11,'Tc - Mannings n'!$C$5:$D$8,2,FALSE)</f>
        <v>0.8</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v>3.0000000000000001E-3</v>
      </c>
      <c r="E15" s="15"/>
      <c r="F15" s="140">
        <v>9.9999999999999995E-7</v>
      </c>
      <c r="G15" s="15"/>
    </row>
    <row r="16" spans="1:7" x14ac:dyDescent="0.2">
      <c r="A16" s="11"/>
      <c r="D16" s="11"/>
      <c r="E16" s="16"/>
      <c r="F16" s="11"/>
      <c r="G16" s="16"/>
    </row>
    <row r="17" spans="1:9" x14ac:dyDescent="0.2">
      <c r="A17" s="11" t="s">
        <v>47</v>
      </c>
      <c r="D17" s="12">
        <f>((0.007*(D12*D13)^0.8)/(((D14)^0.5)*((D15)^0.4)))</f>
        <v>1.2547877706187753</v>
      </c>
      <c r="E17" s="16"/>
      <c r="F17" s="12">
        <f>((0.007*(F12*F13)^0.8)/(((F14)^0.5)*((F15)^0.4)))</f>
        <v>0</v>
      </c>
      <c r="G17" s="16"/>
    </row>
    <row r="18" spans="1:9" x14ac:dyDescent="0.2">
      <c r="D18" s="17"/>
      <c r="E18" s="16"/>
      <c r="F18" s="17"/>
      <c r="G18" s="16"/>
    </row>
    <row r="19" spans="1:9" x14ac:dyDescent="0.2">
      <c r="D19" s="201" t="s">
        <v>48</v>
      </c>
      <c r="E19" s="202"/>
      <c r="F19" s="202"/>
      <c r="G19" s="202"/>
      <c r="H19" s="18">
        <f>D17+F17</f>
        <v>1.2547877706187753</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635</v>
      </c>
      <c r="F24" s="140">
        <v>0</v>
      </c>
    </row>
    <row r="25" spans="1:9" x14ac:dyDescent="0.2">
      <c r="A25" s="11" t="s">
        <v>54</v>
      </c>
      <c r="D25" s="140">
        <f>30/D24</f>
        <v>4.7244094488188976E-2</v>
      </c>
      <c r="E25" s="21"/>
      <c r="F25" s="140">
        <v>1</v>
      </c>
      <c r="G25" s="21"/>
      <c r="H25" s="21"/>
      <c r="I25" s="21"/>
    </row>
    <row r="26" spans="1:9" x14ac:dyDescent="0.2">
      <c r="A26" s="11" t="s">
        <v>55</v>
      </c>
      <c r="D26" s="12">
        <f>(16.1345*(D25^0.5))</f>
        <v>3.5069475942953376</v>
      </c>
      <c r="E26" s="5"/>
      <c r="F26" s="12">
        <f>(20.3282*(F25^0.5))</f>
        <v>20.328199999999999</v>
      </c>
      <c r="G26" s="5"/>
    </row>
    <row r="27" spans="1:9" x14ac:dyDescent="0.2">
      <c r="A27" s="11"/>
      <c r="D27" s="12"/>
      <c r="E27" s="17"/>
      <c r="F27" s="12"/>
      <c r="G27" s="17"/>
    </row>
    <row r="28" spans="1:9" x14ac:dyDescent="0.2">
      <c r="A28" s="11" t="s">
        <v>56</v>
      </c>
      <c r="D28" s="12">
        <f>(D24)/((3600*(D26)))</f>
        <v>5.0296984527460918E-2</v>
      </c>
      <c r="E28" s="17"/>
      <c r="F28" s="12">
        <f>(F24)/((3600*(F26)))</f>
        <v>0</v>
      </c>
      <c r="G28" s="17"/>
    </row>
    <row r="29" spans="1:9" x14ac:dyDescent="0.2">
      <c r="D29" s="17"/>
      <c r="E29" s="17"/>
      <c r="F29" s="17"/>
      <c r="G29" s="17"/>
    </row>
    <row r="30" spans="1:9" x14ac:dyDescent="0.2">
      <c r="D30" s="201" t="s">
        <v>57</v>
      </c>
      <c r="E30" s="202"/>
      <c r="F30" s="202"/>
      <c r="G30" s="202"/>
      <c r="H30" s="22">
        <f>D28</f>
        <v>5.0296984527460918E-2</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1" t="s">
        <v>68</v>
      </c>
      <c r="E44" s="202"/>
      <c r="F44" s="202"/>
      <c r="G44" s="202"/>
      <c r="H44" s="18">
        <f>D42+F42</f>
        <v>0</v>
      </c>
    </row>
    <row r="45" spans="1:8" x14ac:dyDescent="0.2">
      <c r="D45" s="25"/>
      <c r="E45" s="26"/>
      <c r="F45" s="25"/>
      <c r="G45" s="25"/>
    </row>
    <row r="47" spans="1:8" x14ac:dyDescent="0.2">
      <c r="B47" s="1" t="s">
        <v>69</v>
      </c>
      <c r="C47" s="1"/>
      <c r="D47" s="27">
        <f>IF('tc-pre'!E1="Yes",'tc-pre'!D48,H44+H19+H30)</f>
        <v>1.3050847551462363</v>
      </c>
      <c r="E47" s="1" t="s">
        <v>70</v>
      </c>
      <c r="F47" s="27">
        <f>D47*60</f>
        <v>78.305085308774181</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1.7801627778199134</v>
      </c>
      <c r="H9" s="9">
        <f t="shared" ref="H9:H14" si="1">B9/(C9+$D$5)^D9</f>
        <v>1.7801627778199134</v>
      </c>
      <c r="J9" s="29"/>
      <c r="K9" s="29"/>
      <c r="L9" s="30"/>
    </row>
    <row r="10" spans="1:12" x14ac:dyDescent="0.2">
      <c r="A10" s="31">
        <v>5</v>
      </c>
      <c r="B10" s="34">
        <v>255.24329</v>
      </c>
      <c r="C10" s="30">
        <v>33.254809999999999</v>
      </c>
      <c r="D10" s="30">
        <v>1.0208900000000001</v>
      </c>
      <c r="E10" s="29"/>
      <c r="F10" s="29"/>
      <c r="G10" s="9">
        <f t="shared" si="0"/>
        <v>2.0733555886168582</v>
      </c>
      <c r="H10" s="9">
        <f t="shared" si="1"/>
        <v>2.0733555886168582</v>
      </c>
      <c r="J10" s="29"/>
      <c r="K10" s="29"/>
      <c r="L10" s="30"/>
    </row>
    <row r="11" spans="1:12" x14ac:dyDescent="0.2">
      <c r="A11" s="31">
        <v>10</v>
      </c>
      <c r="B11" s="34">
        <v>265.24779999999998</v>
      </c>
      <c r="C11" s="30">
        <v>31.742000000000001</v>
      </c>
      <c r="D11" s="30">
        <v>1.0112399999999999</v>
      </c>
      <c r="E11" s="29"/>
      <c r="F11" s="29"/>
      <c r="G11" s="35">
        <f t="shared" si="0"/>
        <v>2.2862615013811638</v>
      </c>
      <c r="H11" s="118">
        <f t="shared" si="1"/>
        <v>2.2862615013811638</v>
      </c>
      <c r="J11" s="29"/>
      <c r="K11" s="29"/>
      <c r="L11" s="30"/>
    </row>
    <row r="12" spans="1:12" x14ac:dyDescent="0.2">
      <c r="A12" s="31">
        <v>25</v>
      </c>
      <c r="B12" s="34">
        <v>278.52156000000002</v>
      </c>
      <c r="C12" s="30">
        <v>29.775359999999999</v>
      </c>
      <c r="D12" s="30">
        <v>0.99855000000000005</v>
      </c>
      <c r="E12" s="29"/>
      <c r="F12" s="29"/>
      <c r="G12" s="9">
        <f t="shared" si="0"/>
        <v>2.5945415314699996</v>
      </c>
      <c r="H12" s="9">
        <f t="shared" si="1"/>
        <v>2.5945415314699996</v>
      </c>
      <c r="J12" s="29"/>
      <c r="K12" s="29"/>
      <c r="L12" s="30"/>
    </row>
    <row r="13" spans="1:12" x14ac:dyDescent="0.2">
      <c r="A13" s="31">
        <v>50</v>
      </c>
      <c r="B13" s="34">
        <v>287.81452999999999</v>
      </c>
      <c r="C13" s="30">
        <v>28.396049999999999</v>
      </c>
      <c r="D13" s="30">
        <v>0.98965999999999998</v>
      </c>
      <c r="E13" s="29"/>
      <c r="F13" s="29"/>
      <c r="G13" s="9">
        <f t="shared" si="0"/>
        <v>2.8308375161571635</v>
      </c>
      <c r="H13" s="9">
        <f t="shared" si="1"/>
        <v>2.8308375161571635</v>
      </c>
    </row>
    <row r="14" spans="1:12" x14ac:dyDescent="0.2">
      <c r="A14" s="31">
        <v>100</v>
      </c>
      <c r="B14" s="34">
        <v>295.99399</v>
      </c>
      <c r="C14" s="30">
        <v>27.15249</v>
      </c>
      <c r="D14" s="30">
        <v>0.98175999999999997</v>
      </c>
      <c r="E14" s="29"/>
      <c r="F14" s="29"/>
      <c r="G14" s="9">
        <f t="shared" si="0"/>
        <v>3.0556671829083411</v>
      </c>
      <c r="H14" s="9">
        <f t="shared" si="1"/>
        <v>3.0556671829083411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1.8581868600586795</v>
      </c>
      <c r="H9" s="9">
        <f t="shared" ref="H9:H14" si="1">B9/(C9+$D$5)^D9</f>
        <v>1.8581868600586795</v>
      </c>
      <c r="J9" s="29"/>
      <c r="K9" s="29"/>
      <c r="L9" s="30"/>
    </row>
    <row r="10" spans="1:12" x14ac:dyDescent="0.2">
      <c r="A10" s="31">
        <v>5</v>
      </c>
      <c r="B10" s="34">
        <v>257.69540999999998</v>
      </c>
      <c r="C10" s="30">
        <v>32.880209999999998</v>
      </c>
      <c r="D10" s="30">
        <v>1.01851</v>
      </c>
      <c r="E10" s="29"/>
      <c r="F10" s="29"/>
      <c r="G10" s="9">
        <f t="shared" si="0"/>
        <v>2.1241588568450651</v>
      </c>
      <c r="H10" s="9">
        <f t="shared" si="1"/>
        <v>2.1241588568450651</v>
      </c>
      <c r="J10" s="29"/>
      <c r="K10" s="29"/>
      <c r="L10" s="30"/>
    </row>
    <row r="11" spans="1:12" x14ac:dyDescent="0.2">
      <c r="A11" s="31">
        <v>10</v>
      </c>
      <c r="B11" s="34">
        <v>266.94598999999999</v>
      </c>
      <c r="C11" s="30">
        <v>31.48667</v>
      </c>
      <c r="D11" s="30">
        <v>1.0096099999999999</v>
      </c>
      <c r="E11" s="29"/>
      <c r="F11" s="29"/>
      <c r="G11" s="35">
        <f t="shared" si="0"/>
        <v>2.3240410660269308</v>
      </c>
      <c r="H11" s="118">
        <f t="shared" si="1"/>
        <v>2.3240410660269308</v>
      </c>
      <c r="J11" s="29"/>
      <c r="K11" s="29"/>
      <c r="L11" s="30"/>
    </row>
    <row r="12" spans="1:12" x14ac:dyDescent="0.2">
      <c r="A12" s="31">
        <v>25</v>
      </c>
      <c r="B12" s="34">
        <v>279.19853000000001</v>
      </c>
      <c r="C12" s="30">
        <v>29.675370000000001</v>
      </c>
      <c r="D12" s="30">
        <v>0.99790000000000001</v>
      </c>
      <c r="E12" s="29"/>
      <c r="F12" s="29"/>
      <c r="G12" s="9">
        <f t="shared" si="0"/>
        <v>2.6111871376953646</v>
      </c>
      <c r="H12" s="9">
        <f t="shared" si="1"/>
        <v>2.6111871376953646</v>
      </c>
      <c r="J12" s="29"/>
      <c r="K12" s="29"/>
      <c r="L12" s="30"/>
    </row>
    <row r="13" spans="1:12" x14ac:dyDescent="0.2">
      <c r="A13" s="31">
        <v>50</v>
      </c>
      <c r="B13" s="34">
        <v>287.71203000000003</v>
      </c>
      <c r="C13" s="30">
        <v>28.41133</v>
      </c>
      <c r="D13" s="30">
        <v>0.98975000000000002</v>
      </c>
      <c r="E13" s="29"/>
      <c r="F13" s="29"/>
      <c r="G13" s="9">
        <f t="shared" si="0"/>
        <v>2.8282393657950275</v>
      </c>
      <c r="H13" s="9">
        <f t="shared" si="1"/>
        <v>2.8282393657950275</v>
      </c>
    </row>
    <row r="14" spans="1:12" x14ac:dyDescent="0.2">
      <c r="A14" s="31">
        <v>100</v>
      </c>
      <c r="B14" s="34">
        <v>295.76549999999997</v>
      </c>
      <c r="C14" s="30">
        <v>27.18778</v>
      </c>
      <c r="D14" s="30">
        <v>0.98197999999999996</v>
      </c>
      <c r="E14" s="29"/>
      <c r="F14" s="29"/>
      <c r="G14" s="9">
        <f t="shared" si="0"/>
        <v>3.0491788963852224</v>
      </c>
      <c r="H14" s="9">
        <f t="shared" si="1"/>
        <v>3.0491788963852224</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78.305085308774181</v>
      </c>
      <c r="E4" s="29" t="s">
        <v>137</v>
      </c>
      <c r="F4" s="29"/>
      <c r="G4" s="29"/>
      <c r="H4" s="29"/>
      <c r="J4" s="204"/>
      <c r="K4" s="204"/>
      <c r="L4" s="204"/>
    </row>
    <row r="5" spans="1:12" x14ac:dyDescent="0.2">
      <c r="A5" s="208" t="s">
        <v>138</v>
      </c>
      <c r="B5" s="209"/>
      <c r="C5" s="209"/>
      <c r="D5" s="117">
        <f>'tc-post'!F47</f>
        <v>78.305085308774181</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1.7614846614564186</v>
      </c>
      <c r="H9" s="9">
        <f t="shared" ref="H9:H14" si="1">B9/(C9+$D$5)^D9</f>
        <v>1.7614846614564186</v>
      </c>
      <c r="J9" s="29"/>
      <c r="K9" s="29"/>
      <c r="L9" s="30"/>
    </row>
    <row r="10" spans="1:12" x14ac:dyDescent="0.2">
      <c r="A10" s="31">
        <v>5</v>
      </c>
      <c r="B10" s="34">
        <v>254.34352000000001</v>
      </c>
      <c r="C10" s="30">
        <v>33.392789999999998</v>
      </c>
      <c r="D10" s="30">
        <v>1.02176</v>
      </c>
      <c r="E10" s="29"/>
      <c r="F10" s="29"/>
      <c r="G10" s="9">
        <f t="shared" si="0"/>
        <v>2.0549928161222017</v>
      </c>
      <c r="H10" s="9">
        <f t="shared" si="1"/>
        <v>2.0549928161222017</v>
      </c>
      <c r="J10" s="29"/>
      <c r="K10" s="29"/>
      <c r="L10" s="30"/>
    </row>
    <row r="11" spans="1:12" x14ac:dyDescent="0.2">
      <c r="A11" s="31">
        <v>10</v>
      </c>
      <c r="B11" s="34">
        <v>264.4948</v>
      </c>
      <c r="C11" s="30">
        <v>31.854520000000001</v>
      </c>
      <c r="D11" s="30">
        <v>1.01196</v>
      </c>
      <c r="E11" s="29"/>
      <c r="F11" s="29"/>
      <c r="G11" s="35">
        <f t="shared" si="0"/>
        <v>2.2697194505717291</v>
      </c>
      <c r="H11" s="118">
        <f t="shared" si="1"/>
        <v>2.2697194505717291</v>
      </c>
      <c r="J11" s="29"/>
      <c r="K11" s="29"/>
      <c r="L11" s="30"/>
    </row>
    <row r="12" spans="1:12" x14ac:dyDescent="0.2">
      <c r="A12" s="31">
        <v>25</v>
      </c>
      <c r="B12" s="34">
        <v>277.53223000000003</v>
      </c>
      <c r="C12" s="30">
        <v>29.921430000000001</v>
      </c>
      <c r="D12" s="30">
        <v>0.99948999999999999</v>
      </c>
      <c r="E12" s="29"/>
      <c r="F12" s="29"/>
      <c r="G12" s="9">
        <f t="shared" si="0"/>
        <v>2.5704979406118431</v>
      </c>
      <c r="H12" s="9">
        <f t="shared" si="1"/>
        <v>2.5704979406118431</v>
      </c>
      <c r="J12" s="29"/>
      <c r="K12" s="29"/>
      <c r="L12" s="30"/>
    </row>
    <row r="13" spans="1:12" x14ac:dyDescent="0.2">
      <c r="A13" s="31">
        <v>50</v>
      </c>
      <c r="B13" s="34">
        <v>286.92505999999997</v>
      </c>
      <c r="C13" s="30">
        <v>28.528970000000001</v>
      </c>
      <c r="D13" s="30">
        <v>0.99051</v>
      </c>
      <c r="E13" s="29"/>
      <c r="F13" s="29"/>
      <c r="G13" s="9">
        <f t="shared" si="0"/>
        <v>2.8074447762767716</v>
      </c>
      <c r="H13" s="9">
        <f t="shared" si="1"/>
        <v>2.8074447762767716</v>
      </c>
    </row>
    <row r="14" spans="1:12" x14ac:dyDescent="0.2">
      <c r="A14" s="31">
        <v>100</v>
      </c>
      <c r="B14" s="34">
        <v>295.10935000000001</v>
      </c>
      <c r="C14" s="30">
        <v>27.28867</v>
      </c>
      <c r="D14" s="30">
        <v>0.98262000000000005</v>
      </c>
      <c r="E14" s="29"/>
      <c r="F14" s="29"/>
      <c r="G14" s="9">
        <f t="shared" si="0"/>
        <v>3.0305089209348206</v>
      </c>
      <c r="H14" s="9">
        <f t="shared" si="1"/>
        <v>3.0305089209348206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Ford, jon</cp:lastModifiedBy>
  <cp:lastPrinted>2014-01-30T19:13:06Z</cp:lastPrinted>
  <dcterms:created xsi:type="dcterms:W3CDTF">2003-04-14T14:27:53Z</dcterms:created>
  <dcterms:modified xsi:type="dcterms:W3CDTF">2015-09-01T15:32:03Z</dcterms:modified>
</cp:coreProperties>
</file>