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7" i="3" s="1"/>
  <c r="H23" i="3"/>
  <c r="D45" i="3" s="1"/>
  <c r="D17" i="2"/>
  <c r="H19" i="2" s="1"/>
  <c r="D47" i="2" s="1"/>
  <c r="F47" i="2" s="1"/>
  <c r="H20" i="7"/>
  <c r="D48" i="7" s="1"/>
  <c r="E28" i="6" s="1"/>
  <c r="D176" i="6"/>
  <c r="D174" i="6"/>
  <c r="D172" i="6"/>
  <c r="C68" i="6"/>
  <c r="C157" i="6"/>
  <c r="C69" i="6"/>
  <c r="C161" i="6"/>
  <c r="C160" i="6"/>
  <c r="C70" i="6"/>
  <c r="C158" i="6"/>
  <c r="F128" i="6"/>
  <c r="G24" i="6"/>
  <c r="E43" i="6" s="1"/>
  <c r="D56" i="6" s="1"/>
  <c r="F56" i="6" s="1"/>
  <c r="E81" i="6" s="1"/>
  <c r="G115" i="6"/>
  <c r="E134" i="6" s="1"/>
  <c r="D149" i="6" s="1"/>
  <c r="D105" i="3" l="1"/>
  <c r="D103" i="3"/>
  <c r="D106" i="3"/>
  <c r="D104" i="3"/>
  <c r="D44" i="3"/>
  <c r="D46" i="3"/>
  <c r="D43" i="3"/>
  <c r="D47"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3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27" l="1"/>
  <c r="D4" i="12"/>
  <c r="G14" i="12" s="1"/>
  <c r="D4" i="16"/>
  <c r="G11" i="16" s="1"/>
  <c r="D4" i="29"/>
  <c r="G9" i="29" s="1"/>
  <c r="D4" i="26"/>
  <c r="G12" i="26" s="1"/>
  <c r="D4" i="14"/>
  <c r="G10" i="14" s="1"/>
  <c r="D4" i="25"/>
  <c r="G10" i="25" s="1"/>
  <c r="D4" i="21"/>
  <c r="G9" i="21" s="1"/>
  <c r="D4" i="33"/>
  <c r="G11" i="33"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G9" i="36"/>
  <c r="G11" i="36"/>
  <c r="G13" i="36"/>
  <c r="G10" i="36"/>
  <c r="G12" i="36"/>
  <c r="G14" i="36"/>
  <c r="G10" i="26"/>
  <c r="G14" i="26"/>
  <c r="G11" i="26"/>
  <c r="G10" i="12"/>
  <c r="G9" i="12"/>
  <c r="G11" i="12"/>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11" i="29"/>
  <c r="G10" i="24"/>
  <c r="G14" i="24"/>
  <c r="G11" i="31"/>
  <c r="G13" i="28"/>
  <c r="G12"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40"/>
  <c r="G13" i="40"/>
  <c r="G12" i="40"/>
  <c r="G10" i="39"/>
  <c r="G14" i="39"/>
  <c r="G11"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14" i="21"/>
  <c r="G9" i="33"/>
  <c r="G13" i="33"/>
  <c r="G12" i="33"/>
  <c r="G10" i="20"/>
  <c r="H10" i="25"/>
  <c r="H12" i="25"/>
  <c r="H14" i="25"/>
  <c r="H9" i="25"/>
  <c r="H11" i="25"/>
  <c r="H13" i="25"/>
  <c r="H9" i="33"/>
  <c r="H11" i="33"/>
  <c r="H13" i="33"/>
  <c r="H10" i="33"/>
  <c r="H12" i="33"/>
  <c r="H14" i="33"/>
  <c r="G9" i="23"/>
  <c r="G13" i="23"/>
  <c r="G12" i="23"/>
  <c r="G9" i="42"/>
  <c r="G13" i="42"/>
  <c r="G12" i="42"/>
  <c r="G10" i="34"/>
  <c r="G14" i="34"/>
  <c r="G11"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O70" i="6"/>
  <c r="P70" i="6"/>
  <c r="Q70" i="6"/>
  <c r="N70" i="6"/>
  <c r="P66" i="6"/>
  <c r="P157" i="6"/>
  <c r="G11" i="22" l="1"/>
  <c r="G9" i="35"/>
  <c r="G11" i="18"/>
  <c r="G9" i="28"/>
  <c r="G9" i="14"/>
  <c r="G9" i="16"/>
  <c r="G13" i="30"/>
  <c r="G9" i="30"/>
  <c r="G14" i="19"/>
  <c r="G9" i="32"/>
  <c r="G33" i="3" s="1"/>
  <c r="E43" i="3" s="1"/>
  <c r="H43" i="3" s="1"/>
  <c r="D112" i="3" s="1"/>
  <c r="G11" i="21"/>
  <c r="G12" i="30"/>
  <c r="G10" i="38"/>
  <c r="G10" i="19"/>
  <c r="G14" i="29"/>
  <c r="G13" i="32"/>
  <c r="G10" i="21"/>
  <c r="G14" i="38"/>
  <c r="G12" i="32"/>
  <c r="G11" i="38"/>
  <c r="G11" i="19"/>
  <c r="G10" i="29"/>
  <c r="G88" i="3"/>
  <c r="E105" i="3" s="1"/>
  <c r="H105" i="3" s="1"/>
  <c r="G89" i="3"/>
  <c r="E106" i="3" s="1"/>
  <c r="H106" i="3" s="1"/>
  <c r="G11" i="25"/>
  <c r="G13" i="35"/>
  <c r="G14" i="20"/>
  <c r="G9" i="25"/>
  <c r="G9" i="37"/>
  <c r="G10" i="31"/>
  <c r="G90" i="3"/>
  <c r="E107" i="3" s="1"/>
  <c r="H107" i="3" s="1"/>
  <c r="G13" i="12"/>
  <c r="G36" i="3" s="1"/>
  <c r="E46" i="3" s="1"/>
  <c r="H46" i="3" s="1"/>
  <c r="G12" i="12"/>
  <c r="G13" i="16"/>
  <c r="G14" i="22"/>
  <c r="G87" i="3"/>
  <c r="E104" i="3" s="1"/>
  <c r="H104" i="3" s="1"/>
  <c r="E113" i="3" s="1"/>
  <c r="G14" i="18"/>
  <c r="G10" i="22"/>
  <c r="G12" i="35"/>
  <c r="G10" i="18"/>
  <c r="G11" i="20"/>
  <c r="G12" i="25"/>
  <c r="G13" i="37"/>
  <c r="G12" i="28"/>
  <c r="G14" i="31"/>
  <c r="G11" i="24"/>
  <c r="G86" i="3"/>
  <c r="E103" i="3" s="1"/>
  <c r="H103" i="3" s="1"/>
  <c r="E112" i="3" s="1"/>
  <c r="G12" i="14"/>
  <c r="G12" i="16"/>
  <c r="V70" i="6"/>
  <c r="U70" i="6"/>
  <c r="T70" i="6"/>
  <c r="L70" i="6"/>
  <c r="K70" i="6"/>
  <c r="G13" i="26"/>
  <c r="G9" i="26"/>
  <c r="G14" i="16"/>
  <c r="G10" i="16"/>
  <c r="G11" i="32"/>
  <c r="G34" i="3" s="1"/>
  <c r="E44" i="3" s="1"/>
  <c r="H44" i="3" s="1"/>
  <c r="D113" i="3" s="1"/>
  <c r="G14" i="32"/>
  <c r="G37" i="3" s="1"/>
  <c r="E47" i="3" s="1"/>
  <c r="H47" i="3" s="1"/>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G35" i="3" l="1"/>
  <c r="E45" i="3" s="1"/>
  <c r="H45" i="3" s="1"/>
  <c r="F112" i="3"/>
  <c r="G112" i="3" s="1"/>
  <c r="F113" i="3"/>
  <c r="G113" i="3" s="1"/>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<sst xmlns="http://schemas.openxmlformats.org/spreadsheetml/2006/main" count="1225" uniqueCount="432">
  <si>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</si>
  <si>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</si>
  <si>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</si>
  <si>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</si>
  <si>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</si>
  <si>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</si>
  <si>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</si>
  <si>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</si>
  <si>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</si>
  <si>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</si>
  <si>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</si>
  <si>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</si>
  <si>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</si>
  <si>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</si>
  <si>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</si>
  <si>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</si>
  <si>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</si>
  <si>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</si>
  <si>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</si>
  <si>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</si>
  <si>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</si>
  <si>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</si>
  <si>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</si>
  <si>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</si>
  <si>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</si>
  <si>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</si>
  <si>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</si>
  <si>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</si>
  <si>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</si>
  <si>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</si>
  <si>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</si>
  <si>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</si>
  <si>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</si>
  <si>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</si>
  <si>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</si>
  <si>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</si>
  <si>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</si>
  <si>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</si>
  <si>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</si>
  <si>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</si>
  <si>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</si>
  <si>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</si>
  <si>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</si>
  <si>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</si>
  <si>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</si>
  <si>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</si>
  <si>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</si>
  <si>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</si>
  <si>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</si>
  <si>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</si>
  <si>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</si>
  <si>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</si>
  <si>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</si>
  <si>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</si>
  <si>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</si>
  <si>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</si>
  <si>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</si>
  <si>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</si>
  <si>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</si>
  <si>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</si>
  <si>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</si>
  <si>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</si>
  <si>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</si>
  <si>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</si>
  <si>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</si>
  <si>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</si>
  <si>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</si>
  <si>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</si>
  <si>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</si>
  <si>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</si>
  <si>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</si>
  <si>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</si>
  <si>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</si>
  <si>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</si>
  <si>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</si>
  <si>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</si>
  <si>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</si>
  <si>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</si>
  <si>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</si>
  <si>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</si>
  <si>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</si>
  <si>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</si>
  <si>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</si>
  <si>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</si>
  <si>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</si>
  <si>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</si>
  <si>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</si>
  <si>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</si>
  <si>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</si>
  <si>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</si>
  <si>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</si>
  <si>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</si>
  <si>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</si>
  <si>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</si>
  <si>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</si>
  <si>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</si>
  <si>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</si>
  <si>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</si>
  <si>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</si>
  <si>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</si>
  <si>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</si>
  <si>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</si>
  <si>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</si>
  <si>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</si>
  <si>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</si>
  <si>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</si>
  <si>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</si>
  <si>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</si>
  <si>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</si>
  <si>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</si>
  <si>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</si>
  <si>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</si>
  <si>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</si>
  <si>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</si>
  <si>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</si>
  <si>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</si>
  <si>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</si>
  <si>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</si>
  <si>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</si>
  <si>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</si>
  <si>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</si>
  <si>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</si>
  <si>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</si>
  <si>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</si>
  <si>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</si>
  <si>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</si>
  <si>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</si>
  <si>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</si>
  <si>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</si>
  <si>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</si>
  <si>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</si>
  <si>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</si>
  <si>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</si>
  <si>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</si>
  <si>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</si>
  <si>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</si>
  <si>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</si>
  <si>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</si>
  <si>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</si>
  <si>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</si>
  <si>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</si>
  <si>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</si>
  <si>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</si>
  <si>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</si>
  <si>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</si>
  <si>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</si>
  <si>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</si>
  <si>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</si>
  <si>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</si>
  <si>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</si>
  <si>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</si>
  <si>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</si>
  <si>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</si>
  <si>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</si>
  <si>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</si>
  <si>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</si>
  <si>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</si>
  <si>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</si>
  <si>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</si>
  <si>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</si>
  <si>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</si>
  <si>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</si>
  <si>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</si>
  <si>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</si>
  <si>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</si>
  <si>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</si>
  <si>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</si>
  <si>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</si>
  <si>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</si>
  <si>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</si>
  <si>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</si>
  <si>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</si>
  <si>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</si>
  <si>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</si>
  <si>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</si>
  <si>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</si>
  <si>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</si>
  <si>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</si>
  <si>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</si>
  <si>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</si>
  <si>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</si>
  <si>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</si>
  <si>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</si>
  <si>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</si>
  <si>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</si>
  <si>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</si>
  <si>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</si>
  <si>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</si>
  <si>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</si>
  <si>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</si>
  <si>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</si>
  <si>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</si>
  <si>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</si>
  <si>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</si>
  <si>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</si>
  <si>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</si>
  <si>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</si>
  <si>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</si>
  <si>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</si>
  <si>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</si>
  <si>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</si>
  <si>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</si>
  <si>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</si>
  <si>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</si>
  <si>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</si>
  <si>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</si>
  <si>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</si>
  <si>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</si>
  <si>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</si>
  <si>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</si>
  <si>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</si>
  <si>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</si>
  <si>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</si>
  <si>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</si>
  <si>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</si>
  <si>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</si>
  <si>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</si>
  <si>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</si>
  <si>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</si>
  <si>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</si>
  <si>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</si>
  <si>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</si>
  <si>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</si>
  <si>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</si>
  <si>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</si>
  <si>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</si>
  <si>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</si>
  <si>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</si>
  <si>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</si>
  <si>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</si>
  <si>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</si>
  <si>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</si>
  <si>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</si>
  <si>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</si>
  <si>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</si>
  <si>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</si>
  <si>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</si>
  <si>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</si>
  <si>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</si>
  <si>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</si>
  <si>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</si>
  <si>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</si>
  <si>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</si>
  <si>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</si>
  <si>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</si>
  <si>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</si>
  <si>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</si>
  <si>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</si>
  <si>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</si>
  <si>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</si>
  <si>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</si>
  <si>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</si>
  <si>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</si>
  <si>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</si>
  <si>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</si>
  <si>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</si>
  <si>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</si>
  <si>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</si>
  <si>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</si>
  <si>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</si>
  <si>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</si>
  <si>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</si>
  <si>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</si>
  <si>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</si>
  <si>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</si>
  <si>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</si>
  <si>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</si>
  <si>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</si>
  <si>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</si>
  <si>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</si>
  <si>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</si>
  <si>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</si>
  <si>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</si>
  <si>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</si>
  <si>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</si>
  <si>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</si>
  <si>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</si>
  <si>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</si>
  <si>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</si>
  <si>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</si>
  <si>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</si>
  <si>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</si>
  <si>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</si>
  <si>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</si>
  <si>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</si>
  <si>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</si>
  <si>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</si>
  <si>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</si>
  <si>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</si>
  <si>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</si>
  <si>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</si>
  <si>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</si>
  <si>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</si>
  <si>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</si>
  <si>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</si>
  <si>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</si>
  <si>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</si>
  <si>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</si>
  <si>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</si>
  <si>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</si>
  <si>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</si>
  <si>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</si>
  <si>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</si>
  <si>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</si>
  <si>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</si>
  <si>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</si>
  <si>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</si>
  <si>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</si>
  <si>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</si>
  <si>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</si>
  <si>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</si>
  <si>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</si>
  <si>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</si>
  <si>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</si>
  <si>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</si>
  <si>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</si>
  <si>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</si>
  <si>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</si>
  <si>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</si>
  <si>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</si>
  <si>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</si>
  <si>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</si>
  <si>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</si>
  <si>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</si>
  <si>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</si>
  <si>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</si>
  <si>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</si>
  <si>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</si>
  <si>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</si>
  <si>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</si>
  <si>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</si>
  <si>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</si>
  <si>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</si>
  <si>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</si>
  <si>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</si>
  <si>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</si>
  <si>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</si>
  <si>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</si>
  <si>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</si>
  <si>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</si>
  <si>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</si>
  <si>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</si>
  <si>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</si>
  <si>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</si>
  <si>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</si>
  <si>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</si>
  <si>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</si>
  <si>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</si>
  <si>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</si>
  <si>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</si>
  <si>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</si>
  <si>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</si>
  <si>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</si>
  <si>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</si>
  <si>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</si>
  <si>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</si>
  <si>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</si>
  <si>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</si>
  <si>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</si>
  <si>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</si>
  <si>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</si>
  <si>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</si>
  <si>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</si>
  <si>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</si>
  <si>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</si>
  <si>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</si>
  <si>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</si>
  <si>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</si>
  <si>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</si>
  <si>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</si>
  <si>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</si>
  <si>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</si>
  <si>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</si>
  <si>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</si>
  <si>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</si>
  <si>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</si>
  <si>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</si>
  <si>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</si>
  <si>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</si>
  <si>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</si>
  <si>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</si>
  <si>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</si>
  <si>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</si>
  <si>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</si>
  <si>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</si>
  <si>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</si>
  <si>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</si>
  <si>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</si>
  <si>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</si>
  <si>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</si>
  <si>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</si>
  <si>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</si>
  <si>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</si>
  <si>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</si>
  <si>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</si>
  <si>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</si>
  <si>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</si>
  <si>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</si>
  <si>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</si>
  <si>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</si>
  <si>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</si>
  <si>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</si>
  <si>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</si>
  <si>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</si>
  <si>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</si>
  <si>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</si>
  <si>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</si>
  <si>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</si>
  <si>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</si>
  <si>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</si>
  <si>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</si>
  <si>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</si>
  <si>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</si>
  <si>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</si>
  <si>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</si>
  <si>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</si>
  <si>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</si>
  <si>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</si>
  <si>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</si>
  <si>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#10</t>
  </si>
  <si>
    <t>The widening will take place from S.C. Route 378 to Longs Pond Road which is approximately 14 miles. The existing watersheds along the interstate are primarily developed areas along with large wooded areas. The total drainage area to Outfall #10 is approximately 8 acres. The existing watershed includes, grassed areas, paved areas, wooded areas, and residential areas adjacent to U.S. Route 20. The soils in the watershed are classified as Hydrologic Soil Group B.</t>
  </si>
  <si>
    <t>Runoff from the existing watershed sheet flows to a field along U.S. Route 20 and flows overland and across the interstate to an outfall ditch.</t>
  </si>
  <si>
    <t xml:space="preserve">The proposed construction within the watershed includes pavement addition and drainage reconstruction. The proposed construction results in an increase in impervious area as a result of the addition of traffic lanes on I-20 and drains to Outfall #10. </t>
  </si>
  <si>
    <t>The increased flows are a result of the proposed addition of pavement and will drain to Outfall #10.  However the drainage area remains approximately the same.</t>
  </si>
  <si>
    <t>Outfall #8 [Rt.] Sta.315+00 (Baskin Hills Road)</t>
  </si>
  <si>
    <t xml:space="preserve">The proposed construction within the watershed includes pavement addition. The proposed construction results in an increase in impervious area as a result of the addition of traffic lanes on I-20 and drains to Outfall #8. </t>
  </si>
  <si>
    <t>Runoff from the existing watershed flows overland to a cross-line drainage system under I-20 and discharges into an outfall ditch and then flows to a small pond off of Baskin Hills Road.</t>
  </si>
  <si>
    <t>8/26/2015</t>
  </si>
  <si>
    <t>Sta. 315+00</t>
  </si>
  <si>
    <t xml:space="preserve">The additional 0.81 cfs runoff for the 10-year design storm will be collected by an outfall ditch that flows to a small pond off of Baskin Hills Road.  The additional pavement will have no significant adverse effect downstream of the outfall.  No additional detention is necessary in this area.  </t>
  </si>
  <si>
    <t>Outfall ditch to small pond off Baskin Hills Road</t>
  </si>
  <si>
    <t xml:space="preserve">The widening will take place from U.S. Route 378 to Longs Pond Road which is approximately 14 miles. The existing watersheds along the interstate are primarily developed areas along with large wooded areas. The total drainage area to Outfall #8 is approximately 9 acres. The existing watershed includes, grassed areas, paved areas, and wooded areas adjacent to I-20.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</si>
</sst>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7">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1" fillId="3" borderId="0" xfId="0" applyFont="1" applyFill="1" applyAlignment="1" applyProtection="1">
      <alignment horizontal="left" wrapText="1"/>
      <protection locked="0"/>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57746688"/>
        <c:axId val="157748608"/>
      </c:scatterChart>
      <c:valAx>
        <c:axId val="15774668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48608"/>
        <c:crosses val="autoZero"/>
        <c:crossBetween val="midCat"/>
      </c:valAx>
      <c:valAx>
        <c:axId val="15774860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77466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2193792"/>
        <c:axId val="162195712"/>
      </c:scatterChart>
      <c:valAx>
        <c:axId val="16219379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2195712"/>
        <c:crosses val="autoZero"/>
        <c:crossBetween val="midCat"/>
      </c:valAx>
      <c:valAx>
        <c:axId val="1621957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219379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64838400"/>
        <c:axId val="164869248"/>
      </c:scatterChart>
      <c:valAx>
        <c:axId val="1648384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4869248"/>
        <c:crosses val="autoZero"/>
        <c:crossBetween val="midCat"/>
      </c:valAx>
      <c:valAx>
        <c:axId val="16486924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48384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66675200"/>
        <c:axId val="166677120"/>
      </c:scatterChart>
      <c:valAx>
        <c:axId val="1666752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677120"/>
        <c:crosses val="autoZero"/>
        <c:crossBetween val="midCat"/>
      </c:valAx>
      <c:valAx>
        <c:axId val="16667712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6752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2.8881334813227544</v>
      </c>
      <c r="H9" s="9">
        <f t="shared" ref="H9:H14" si="1">B9/(C9+$D$5)^D9</f>
        <v>2.8881334813227544</v>
      </c>
      <c r="J9" s="29"/>
      <c r="K9" s="29"/>
      <c r="L9" s="30"/>
    </row>
    <row r="10" spans="1:12" x14ac:dyDescent="0.2">
      <c r="A10" s="31">
        <v>5</v>
      </c>
      <c r="B10" s="34">
        <v>261.13655</v>
      </c>
      <c r="C10" s="30">
        <v>32.358699999999999</v>
      </c>
      <c r="D10" s="30">
        <v>1.01519</v>
      </c>
      <c r="E10" s="29"/>
      <c r="F10" s="29"/>
      <c r="G10" s="9">
        <f t="shared" si="0"/>
        <v>3.2581676013853054</v>
      </c>
      <c r="H10" s="9">
        <f t="shared" si="1"/>
        <v>3.2581676013853054</v>
      </c>
      <c r="J10" s="29"/>
      <c r="K10" s="29"/>
      <c r="L10" s="30"/>
    </row>
    <row r="11" spans="1:12" x14ac:dyDescent="0.2">
      <c r="A11" s="31">
        <v>10</v>
      </c>
      <c r="B11" s="34">
        <v>269.52906000000002</v>
      </c>
      <c r="C11" s="30">
        <v>31.104620000000001</v>
      </c>
      <c r="D11" s="30">
        <v>1.0071399999999999</v>
      </c>
      <c r="E11" s="29"/>
      <c r="F11" s="29"/>
      <c r="G11" s="35">
        <f t="shared" si="0"/>
        <v>3.5414247490592161</v>
      </c>
      <c r="H11" s="118">
        <f t="shared" si="1"/>
        <v>3.5414247490592161</v>
      </c>
      <c r="J11" s="29"/>
      <c r="K11" s="29"/>
      <c r="L11" s="30"/>
    </row>
    <row r="12" spans="1:12" x14ac:dyDescent="0.2">
      <c r="A12" s="31">
        <v>25</v>
      </c>
      <c r="B12" s="34">
        <v>281.11392999999998</v>
      </c>
      <c r="C12" s="30">
        <v>29.392219999999998</v>
      </c>
      <c r="D12" s="30">
        <v>0.99607000000000001</v>
      </c>
      <c r="E12" s="29"/>
      <c r="F12" s="29"/>
      <c r="G12" s="9">
        <f t="shared" si="0"/>
        <v>3.9654226344930312</v>
      </c>
      <c r="H12" s="9">
        <f t="shared" si="1"/>
        <v>3.9654226344930312</v>
      </c>
      <c r="J12" s="29"/>
      <c r="K12" s="29"/>
      <c r="L12" s="30"/>
    </row>
    <row r="13" spans="1:12" x14ac:dyDescent="0.2">
      <c r="A13" s="31">
        <v>50</v>
      </c>
      <c r="B13" s="34">
        <v>289.29525999999998</v>
      </c>
      <c r="C13" s="30">
        <v>28.173349999999999</v>
      </c>
      <c r="D13" s="30">
        <v>0.98823000000000005</v>
      </c>
      <c r="E13" s="29"/>
      <c r="F13" s="29"/>
      <c r="G13" s="9">
        <f t="shared" si="0"/>
        <v>4.2917310539169797</v>
      </c>
      <c r="H13" s="9">
        <f t="shared" si="1"/>
        <v>4.2917310539169797</v>
      </c>
    </row>
    <row r="14" spans="1:12" x14ac:dyDescent="0.2">
      <c r="A14" s="31">
        <v>100</v>
      </c>
      <c r="B14" s="34">
        <v>296.80041999999997</v>
      </c>
      <c r="C14" s="30">
        <v>27.025970000000001</v>
      </c>
      <c r="D14" s="30">
        <v>0.98097000000000001</v>
      </c>
      <c r="E14" s="29"/>
      <c r="F14" s="29"/>
      <c r="G14" s="9">
        <f t="shared" si="0"/>
        <v>4.614701861556056</v>
      </c>
      <c r="H14" s="9">
        <f t="shared" si="1"/>
        <v>4.614701861556056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2.717280867989099</v>
      </c>
      <c r="H9" s="9">
        <f t="shared" ref="H9:H14" si="1">B9/(C9+$D$5)^D9</f>
        <v>2.717280867989099</v>
      </c>
      <c r="J9" s="29"/>
      <c r="K9" s="29"/>
      <c r="L9" s="30"/>
    </row>
    <row r="10" spans="1:12" x14ac:dyDescent="0.2">
      <c r="A10" s="31">
        <v>5</v>
      </c>
      <c r="B10" s="34">
        <v>257.07785999999999</v>
      </c>
      <c r="C10" s="30">
        <v>32.97428</v>
      </c>
      <c r="D10" s="30">
        <v>1.01911</v>
      </c>
      <c r="E10" s="29"/>
      <c r="F10" s="29"/>
      <c r="G10" s="9">
        <f t="shared" si="0"/>
        <v>3.127546968041035</v>
      </c>
      <c r="H10" s="9">
        <f t="shared" si="1"/>
        <v>3.127546968041035</v>
      </c>
      <c r="J10" s="29"/>
      <c r="K10" s="29"/>
      <c r="L10" s="30"/>
    </row>
    <row r="11" spans="1:12" x14ac:dyDescent="0.2">
      <c r="A11" s="31">
        <v>10</v>
      </c>
      <c r="B11" s="34">
        <v>266.55779000000001</v>
      </c>
      <c r="C11" s="30">
        <v>31.546500000000002</v>
      </c>
      <c r="D11" s="30">
        <v>1.0099800000000001</v>
      </c>
      <c r="E11" s="29"/>
      <c r="F11" s="29"/>
      <c r="G11" s="35">
        <f t="shared" si="0"/>
        <v>3.4390631607086428</v>
      </c>
      <c r="H11" s="118">
        <f t="shared" si="1"/>
        <v>3.4390631607086428</v>
      </c>
      <c r="J11" s="29"/>
      <c r="K11" s="29"/>
      <c r="L11" s="30"/>
    </row>
    <row r="12" spans="1:12" x14ac:dyDescent="0.2">
      <c r="A12" s="31">
        <v>25</v>
      </c>
      <c r="B12" s="34">
        <v>278.96244000000002</v>
      </c>
      <c r="C12" s="30">
        <v>29.710239999999999</v>
      </c>
      <c r="D12" s="30">
        <v>0.99812999999999996</v>
      </c>
      <c r="E12" s="29"/>
      <c r="F12" s="29"/>
      <c r="G12" s="9">
        <f t="shared" si="0"/>
        <v>3.8834489321605212</v>
      </c>
      <c r="H12" s="9">
        <f t="shared" si="1"/>
        <v>3.8834489321605212</v>
      </c>
      <c r="J12" s="29"/>
      <c r="K12" s="29"/>
      <c r="L12" s="30"/>
    </row>
    <row r="13" spans="1:12" x14ac:dyDescent="0.2">
      <c r="A13" s="31">
        <v>50</v>
      </c>
      <c r="B13" s="34">
        <v>287.88720999999998</v>
      </c>
      <c r="C13" s="30">
        <v>28.385120000000001</v>
      </c>
      <c r="D13" s="30">
        <v>0.98958999999999997</v>
      </c>
      <c r="E13" s="29"/>
      <c r="F13" s="29"/>
      <c r="G13" s="9">
        <f t="shared" si="0"/>
        <v>4.2336470925977627</v>
      </c>
      <c r="H13" s="9">
        <f t="shared" si="1"/>
        <v>4.2336470925977627</v>
      </c>
    </row>
    <row r="14" spans="1:12" x14ac:dyDescent="0.2">
      <c r="A14" s="31">
        <v>100</v>
      </c>
      <c r="B14" s="34">
        <v>295.79777999999999</v>
      </c>
      <c r="C14" s="30">
        <v>27.182759999999998</v>
      </c>
      <c r="D14" s="30">
        <v>0.98194999999999999</v>
      </c>
      <c r="E14" s="29"/>
      <c r="F14" s="29"/>
      <c r="G14" s="9">
        <f t="shared" si="0"/>
        <v>4.5699310895651841</v>
      </c>
      <c r="H14" s="9">
        <f t="shared" si="1"/>
        <v>4.5699310895651841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2.9693108724786708</v>
      </c>
      <c r="H9" s="9">
        <f t="shared" ref="H9:H14" si="1">B9/(C9+$D$5)^D9</f>
        <v>2.9693108724786708</v>
      </c>
      <c r="J9" s="29"/>
      <c r="K9" s="29"/>
      <c r="L9" s="30"/>
    </row>
    <row r="10" spans="1:12" x14ac:dyDescent="0.2">
      <c r="A10" s="31">
        <v>5</v>
      </c>
      <c r="B10" s="34">
        <v>262.87945999999999</v>
      </c>
      <c r="C10" s="30">
        <v>32.09639</v>
      </c>
      <c r="D10" s="30">
        <v>1.0135099999999999</v>
      </c>
      <c r="E10" s="29"/>
      <c r="F10" s="29"/>
      <c r="G10" s="9">
        <f t="shared" si="0"/>
        <v>3.3155380551155922</v>
      </c>
      <c r="H10" s="9">
        <f t="shared" si="1"/>
        <v>3.3155380551155922</v>
      </c>
      <c r="J10" s="29"/>
      <c r="K10" s="29"/>
      <c r="L10" s="30"/>
    </row>
    <row r="11" spans="1:12" x14ac:dyDescent="0.2">
      <c r="A11" s="31">
        <v>10</v>
      </c>
      <c r="B11" s="34">
        <v>270.85088000000002</v>
      </c>
      <c r="C11" s="30">
        <v>30.90869</v>
      </c>
      <c r="D11" s="30">
        <v>1.00587</v>
      </c>
      <c r="E11" s="29"/>
      <c r="F11" s="29"/>
      <c r="G11" s="35">
        <f t="shared" si="0"/>
        <v>3.5878672555805555</v>
      </c>
      <c r="H11" s="118">
        <f t="shared" si="1"/>
        <v>3.5878672555805555</v>
      </c>
      <c r="J11" s="29"/>
      <c r="K11" s="29"/>
      <c r="L11" s="30"/>
    </row>
    <row r="12" spans="1:12" x14ac:dyDescent="0.2">
      <c r="A12" s="31">
        <v>25</v>
      </c>
      <c r="B12" s="34">
        <v>282.02145000000002</v>
      </c>
      <c r="C12" s="30">
        <v>29.25788</v>
      </c>
      <c r="D12" s="30">
        <v>0.99519999999999997</v>
      </c>
      <c r="E12" s="29"/>
      <c r="F12" s="29"/>
      <c r="G12" s="9">
        <f t="shared" si="0"/>
        <v>4.0004768723211788</v>
      </c>
      <c r="H12" s="9">
        <f t="shared" si="1"/>
        <v>4.0004768723211788</v>
      </c>
      <c r="J12" s="29"/>
      <c r="K12" s="29"/>
      <c r="L12" s="30"/>
    </row>
    <row r="13" spans="1:12" x14ac:dyDescent="0.2">
      <c r="A13" s="31">
        <v>50</v>
      </c>
      <c r="B13" s="34">
        <v>289.91899000000001</v>
      </c>
      <c r="C13" s="30">
        <v>28.07921</v>
      </c>
      <c r="D13" s="30">
        <v>0.98763000000000001</v>
      </c>
      <c r="E13" s="29"/>
      <c r="F13" s="29"/>
      <c r="G13" s="9">
        <f t="shared" si="0"/>
        <v>4.3176579971465534</v>
      </c>
      <c r="H13" s="9">
        <f t="shared" si="1"/>
        <v>4.3176579971465534</v>
      </c>
    </row>
    <row r="14" spans="1:12" x14ac:dyDescent="0.2">
      <c r="A14" s="31">
        <v>100</v>
      </c>
      <c r="B14" s="34">
        <v>297.13936999999999</v>
      </c>
      <c r="C14" s="30">
        <v>26.972190000000001</v>
      </c>
      <c r="D14" s="30">
        <v>0.98063999999999996</v>
      </c>
      <c r="E14" s="29"/>
      <c r="F14" s="29"/>
      <c r="G14" s="9">
        <f t="shared" si="0"/>
        <v>4.6299496480655442</v>
      </c>
      <c r="H14" s="9">
        <f t="shared" si="1"/>
        <v>4.6299496480655442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2.7962285706901007</v>
      </c>
      <c r="H9" s="9">
        <f t="shared" ref="H9:H14" si="1">B9/(C9+$D$5)^D9</f>
        <v>2.7962285706901007</v>
      </c>
      <c r="J9" s="29"/>
      <c r="K9" s="29"/>
      <c r="L9" s="30"/>
    </row>
    <row r="10" spans="1:12" x14ac:dyDescent="0.2">
      <c r="A10" s="31">
        <v>5</v>
      </c>
      <c r="B10" s="34">
        <v>261.15915999999999</v>
      </c>
      <c r="C10" s="30">
        <v>32.355730000000001</v>
      </c>
      <c r="D10" s="30">
        <v>1.0151699999999999</v>
      </c>
      <c r="E10" s="29"/>
      <c r="F10" s="29"/>
      <c r="G10" s="9">
        <f t="shared" si="0"/>
        <v>3.258862038252575</v>
      </c>
      <c r="H10" s="9">
        <f t="shared" si="1"/>
        <v>3.258862038252575</v>
      </c>
      <c r="J10" s="29"/>
      <c r="K10" s="29"/>
      <c r="L10" s="30"/>
    </row>
    <row r="11" spans="1:12" x14ac:dyDescent="0.2">
      <c r="A11" s="31">
        <v>10</v>
      </c>
      <c r="B11" s="34">
        <v>270.24815000000001</v>
      </c>
      <c r="C11" s="30">
        <v>30.998100000000001</v>
      </c>
      <c r="D11" s="30">
        <v>1.0064500000000001</v>
      </c>
      <c r="E11" s="29"/>
      <c r="F11" s="29"/>
      <c r="G11" s="35">
        <f t="shared" si="0"/>
        <v>3.566608390631361</v>
      </c>
      <c r="H11" s="118">
        <f t="shared" si="1"/>
        <v>3.566608390631361</v>
      </c>
      <c r="J11" s="29"/>
      <c r="K11" s="29"/>
      <c r="L11" s="30"/>
    </row>
    <row r="12" spans="1:12" x14ac:dyDescent="0.2">
      <c r="A12" s="31">
        <v>25</v>
      </c>
      <c r="B12" s="34">
        <v>281.57326999999998</v>
      </c>
      <c r="C12" s="30">
        <v>29.324300000000001</v>
      </c>
      <c r="D12" s="30">
        <v>0.99563000000000001</v>
      </c>
      <c r="E12" s="29"/>
      <c r="F12" s="29"/>
      <c r="G12" s="9">
        <f t="shared" si="0"/>
        <v>3.9831216564990464</v>
      </c>
      <c r="H12" s="9">
        <f t="shared" si="1"/>
        <v>3.9831216564990464</v>
      </c>
      <c r="J12" s="29"/>
      <c r="K12" s="29"/>
      <c r="L12" s="30"/>
    </row>
    <row r="13" spans="1:12" x14ac:dyDescent="0.2">
      <c r="A13" s="31">
        <v>50</v>
      </c>
      <c r="B13" s="34">
        <v>289.32177999999999</v>
      </c>
      <c r="C13" s="30">
        <v>28.169709999999998</v>
      </c>
      <c r="D13" s="30">
        <v>0.98821000000000003</v>
      </c>
      <c r="E13" s="29"/>
      <c r="F13" s="29"/>
      <c r="G13" s="9">
        <f t="shared" si="0"/>
        <v>4.2927081317881504</v>
      </c>
      <c r="H13" s="9">
        <f t="shared" si="1"/>
        <v>4.2927081317881504</v>
      </c>
    </row>
    <row r="14" spans="1:12" x14ac:dyDescent="0.2">
      <c r="A14" s="31">
        <v>100</v>
      </c>
      <c r="B14" s="34">
        <v>296.25407000000001</v>
      </c>
      <c r="C14" s="30">
        <v>27.111529999999998</v>
      </c>
      <c r="D14" s="30">
        <v>0.98150000000000004</v>
      </c>
      <c r="E14" s="29"/>
      <c r="F14" s="29"/>
      <c r="G14" s="9">
        <f t="shared" si="0"/>
        <v>4.5903281059074335</v>
      </c>
      <c r="H14" s="9">
        <f t="shared" si="1"/>
        <v>4.5903281059074335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2.872915059722728</v>
      </c>
      <c r="H9" s="9">
        <f t="shared" ref="H9:H14" si="1">B9/(C9+$D$5)^D9</f>
        <v>2.872915059722728</v>
      </c>
      <c r="J9" s="29"/>
      <c r="K9" s="29"/>
      <c r="L9" s="30"/>
    </row>
    <row r="10" spans="1:12" x14ac:dyDescent="0.2">
      <c r="A10" s="31">
        <v>5</v>
      </c>
      <c r="B10" s="34">
        <v>263.71406000000002</v>
      </c>
      <c r="C10" s="30">
        <v>31.971609999999998</v>
      </c>
      <c r="D10" s="30">
        <v>1.01271</v>
      </c>
      <c r="E10" s="29"/>
      <c r="F10" s="29"/>
      <c r="G10" s="9">
        <f t="shared" si="0"/>
        <v>3.3432132995474437</v>
      </c>
      <c r="H10" s="9">
        <f t="shared" si="1"/>
        <v>3.3432132995474437</v>
      </c>
      <c r="J10" s="29"/>
      <c r="K10" s="29"/>
      <c r="L10" s="30"/>
    </row>
    <row r="11" spans="1:12" x14ac:dyDescent="0.2">
      <c r="A11" s="31">
        <v>10</v>
      </c>
      <c r="B11" s="34">
        <v>272.73104999999998</v>
      </c>
      <c r="C11" s="30">
        <v>30.63053</v>
      </c>
      <c r="D11" s="30">
        <v>1.0040800000000001</v>
      </c>
      <c r="E11" s="29"/>
      <c r="F11" s="29"/>
      <c r="G11" s="35">
        <f t="shared" si="0"/>
        <v>3.6545462693788746</v>
      </c>
      <c r="H11" s="118">
        <f t="shared" si="1"/>
        <v>3.6545462693788746</v>
      </c>
      <c r="J11" s="29"/>
      <c r="K11" s="29"/>
      <c r="L11" s="30"/>
    </row>
    <row r="12" spans="1:12" x14ac:dyDescent="0.2">
      <c r="A12" s="31">
        <v>25</v>
      </c>
      <c r="B12" s="34">
        <v>284.08978999999999</v>
      </c>
      <c r="C12" s="30">
        <v>28.951280000000001</v>
      </c>
      <c r="D12" s="30">
        <v>0.99322999999999995</v>
      </c>
      <c r="E12" s="29"/>
      <c r="F12" s="29"/>
      <c r="G12" s="9">
        <f t="shared" si="0"/>
        <v>4.0811779497295841</v>
      </c>
      <c r="H12" s="9">
        <f t="shared" si="1"/>
        <v>4.0811779497295841</v>
      </c>
      <c r="J12" s="29"/>
      <c r="K12" s="29"/>
      <c r="L12" s="30"/>
    </row>
    <row r="13" spans="1:12" x14ac:dyDescent="0.2">
      <c r="A13" s="31">
        <v>50</v>
      </c>
      <c r="B13" s="34">
        <v>291.79401000000001</v>
      </c>
      <c r="C13" s="30">
        <v>27.79608</v>
      </c>
      <c r="D13" s="30">
        <v>0.98582999999999998</v>
      </c>
      <c r="E13" s="29"/>
      <c r="F13" s="29"/>
      <c r="G13" s="9">
        <f t="shared" si="0"/>
        <v>4.3963660099203503</v>
      </c>
      <c r="H13" s="9">
        <f t="shared" si="1"/>
        <v>4.3963660099203503</v>
      </c>
    </row>
    <row r="14" spans="1:12" x14ac:dyDescent="0.2">
      <c r="A14" s="31">
        <v>100</v>
      </c>
      <c r="B14" s="34">
        <v>298.59854000000001</v>
      </c>
      <c r="C14" s="30">
        <v>26.744620000000001</v>
      </c>
      <c r="D14" s="30">
        <v>0.97921000000000002</v>
      </c>
      <c r="E14" s="29"/>
      <c r="F14" s="29"/>
      <c r="G14" s="9">
        <f t="shared" si="0"/>
        <v>4.6960274852775594</v>
      </c>
      <c r="H14" s="9">
        <f t="shared" si="1"/>
        <v>4.6960274852775594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2.7426831324260061</v>
      </c>
      <c r="H9" s="9">
        <f t="shared" ref="H9:H14" si="1">B9/(C9+$D$5)^D9</f>
        <v>2.7426831324260061</v>
      </c>
      <c r="J9" s="29"/>
      <c r="K9" s="29"/>
      <c r="L9" s="30"/>
    </row>
    <row r="10" spans="1:12" x14ac:dyDescent="0.2">
      <c r="A10" s="31">
        <v>5</v>
      </c>
      <c r="B10" s="34">
        <v>258.50572</v>
      </c>
      <c r="C10" s="30">
        <v>32.756839999999997</v>
      </c>
      <c r="D10" s="30">
        <v>1.01773</v>
      </c>
      <c r="E10" s="29"/>
      <c r="F10" s="29"/>
      <c r="G10" s="9">
        <f t="shared" si="0"/>
        <v>3.1730294438278017</v>
      </c>
      <c r="H10" s="9">
        <f t="shared" si="1"/>
        <v>3.1730294438278017</v>
      </c>
      <c r="J10" s="29"/>
      <c r="K10" s="29"/>
      <c r="L10" s="30"/>
    </row>
    <row r="11" spans="1:12" x14ac:dyDescent="0.2">
      <c r="A11" s="31">
        <v>10</v>
      </c>
      <c r="B11" s="34">
        <v>267.54246999999998</v>
      </c>
      <c r="C11" s="30">
        <v>31.39986</v>
      </c>
      <c r="D11" s="30">
        <v>1.0090399999999999</v>
      </c>
      <c r="E11" s="29"/>
      <c r="F11" s="29"/>
      <c r="G11" s="35">
        <f t="shared" si="0"/>
        <v>3.4726922228019497</v>
      </c>
      <c r="H11" s="118">
        <f t="shared" si="1"/>
        <v>3.4726922228019497</v>
      </c>
      <c r="J11" s="29"/>
      <c r="K11" s="29"/>
      <c r="L11" s="30"/>
    </row>
    <row r="12" spans="1:12" x14ac:dyDescent="0.2">
      <c r="A12" s="31">
        <v>25</v>
      </c>
      <c r="B12" s="34">
        <v>279.77346</v>
      </c>
      <c r="C12" s="30">
        <v>29.590430000000001</v>
      </c>
      <c r="D12" s="30">
        <v>0.99734999999999996</v>
      </c>
      <c r="E12" s="29"/>
      <c r="F12" s="29"/>
      <c r="G12" s="9">
        <f t="shared" si="0"/>
        <v>3.9142295491265355</v>
      </c>
      <c r="H12" s="9">
        <f t="shared" si="1"/>
        <v>3.9142295491265355</v>
      </c>
      <c r="J12" s="29"/>
      <c r="K12" s="29"/>
      <c r="L12" s="30"/>
    </row>
    <row r="13" spans="1:12" x14ac:dyDescent="0.2">
      <c r="A13" s="31">
        <v>50</v>
      </c>
      <c r="B13" s="34">
        <v>288.71309000000002</v>
      </c>
      <c r="C13" s="30">
        <v>28.26125</v>
      </c>
      <c r="D13" s="30">
        <v>0.98878999999999995</v>
      </c>
      <c r="E13" s="29"/>
      <c r="F13" s="29"/>
      <c r="G13" s="9">
        <f t="shared" si="0"/>
        <v>4.2676532707511754</v>
      </c>
      <c r="H13" s="9">
        <f t="shared" si="1"/>
        <v>4.2676532707511754</v>
      </c>
    </row>
    <row r="14" spans="1:12" x14ac:dyDescent="0.2">
      <c r="A14" s="31">
        <v>100</v>
      </c>
      <c r="B14" s="34">
        <v>296.66217</v>
      </c>
      <c r="C14" s="30">
        <v>27.048590000000001</v>
      </c>
      <c r="D14" s="30">
        <v>0.98111000000000004</v>
      </c>
      <c r="E14" s="29"/>
      <c r="F14" s="29"/>
      <c r="G14" s="9">
        <f t="shared" si="0"/>
        <v>4.6083454284762988</v>
      </c>
      <c r="H14" s="9">
        <f t="shared" si="1"/>
        <v>4.6083454284762988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2.7899540109255239</v>
      </c>
      <c r="H9" s="9">
        <f t="shared" ref="H9:H14" si="1">B9/(C9+$D$5)^D9</f>
        <v>2.7899540109255239</v>
      </c>
      <c r="J9" s="29"/>
      <c r="K9" s="29"/>
      <c r="L9" s="30"/>
    </row>
    <row r="10" spans="1:12" x14ac:dyDescent="0.2">
      <c r="A10" s="31">
        <v>5</v>
      </c>
      <c r="B10" s="34">
        <v>259.11354999999998</v>
      </c>
      <c r="C10" s="30">
        <v>32.664630000000002</v>
      </c>
      <c r="D10" s="30">
        <v>1.0171399999999999</v>
      </c>
      <c r="E10" s="29"/>
      <c r="F10" s="29"/>
      <c r="G10" s="9">
        <f t="shared" si="0"/>
        <v>3.1925819373785291</v>
      </c>
      <c r="H10" s="9">
        <f t="shared" si="1"/>
        <v>3.1925819373785291</v>
      </c>
      <c r="J10" s="29"/>
      <c r="K10" s="29"/>
      <c r="L10" s="30"/>
    </row>
    <row r="11" spans="1:12" x14ac:dyDescent="0.2">
      <c r="A11" s="31">
        <v>10</v>
      </c>
      <c r="B11" s="34">
        <v>267.80932999999999</v>
      </c>
      <c r="C11" s="30">
        <v>31.36009</v>
      </c>
      <c r="D11" s="30">
        <v>1.00878</v>
      </c>
      <c r="E11" s="29"/>
      <c r="F11" s="29"/>
      <c r="G11" s="35">
        <f t="shared" si="0"/>
        <v>3.481934643691003</v>
      </c>
      <c r="H11" s="118">
        <f t="shared" si="1"/>
        <v>3.481934643691003</v>
      </c>
      <c r="J11" s="29"/>
      <c r="K11" s="29"/>
      <c r="L11" s="30"/>
    </row>
    <row r="12" spans="1:12" x14ac:dyDescent="0.2">
      <c r="A12" s="31">
        <v>25</v>
      </c>
      <c r="B12" s="34">
        <v>280.16379000000001</v>
      </c>
      <c r="C12" s="30">
        <v>29.53274</v>
      </c>
      <c r="D12" s="30">
        <v>0.99697999999999998</v>
      </c>
      <c r="E12" s="29"/>
      <c r="F12" s="29"/>
      <c r="G12" s="9">
        <f t="shared" si="0"/>
        <v>3.9290296862591449</v>
      </c>
      <c r="H12" s="9">
        <f t="shared" si="1"/>
        <v>3.9290296862591449</v>
      </c>
      <c r="J12" s="29"/>
      <c r="K12" s="29"/>
      <c r="L12" s="30"/>
    </row>
    <row r="13" spans="1:12" x14ac:dyDescent="0.2">
      <c r="A13" s="31">
        <v>50</v>
      </c>
      <c r="B13" s="34">
        <v>288.48608999999999</v>
      </c>
      <c r="C13" s="30">
        <v>28.29513</v>
      </c>
      <c r="D13" s="30">
        <v>0.98900999999999994</v>
      </c>
      <c r="E13" s="29"/>
      <c r="F13" s="29"/>
      <c r="G13" s="9">
        <f t="shared" si="0"/>
        <v>4.2582904805979638</v>
      </c>
      <c r="H13" s="9">
        <f t="shared" si="1"/>
        <v>4.2582904805979638</v>
      </c>
    </row>
    <row r="14" spans="1:12" x14ac:dyDescent="0.2">
      <c r="A14" s="31">
        <v>100</v>
      </c>
      <c r="B14" s="34">
        <v>296.13357000000002</v>
      </c>
      <c r="C14" s="30">
        <v>27.129909999999999</v>
      </c>
      <c r="D14" s="30">
        <v>0.98162000000000005</v>
      </c>
      <c r="E14" s="29"/>
      <c r="F14" s="29"/>
      <c r="G14" s="9">
        <f t="shared" si="0"/>
        <v>4.5849388789578649</v>
      </c>
      <c r="H14" s="9">
        <f t="shared" si="1"/>
        <v>4.5849388789578649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2.5653589773569641</v>
      </c>
      <c r="H9" s="9">
        <f t="shared" ref="H9:H14" si="1">B9/(C9+$D$5)^D9</f>
        <v>2.5653589773569641</v>
      </c>
      <c r="J9" s="29"/>
      <c r="K9" s="29"/>
      <c r="L9" s="30"/>
    </row>
    <row r="10" spans="1:12" x14ac:dyDescent="0.2">
      <c r="A10" s="31">
        <v>5</v>
      </c>
      <c r="B10" s="34">
        <v>253.07857999999999</v>
      </c>
      <c r="C10" s="30">
        <v>33.587960000000002</v>
      </c>
      <c r="D10" s="30">
        <v>1.0229900000000001</v>
      </c>
      <c r="E10" s="29"/>
      <c r="F10" s="29"/>
      <c r="G10" s="9">
        <f t="shared" si="0"/>
        <v>3.0027274398165429</v>
      </c>
      <c r="H10" s="9">
        <f t="shared" si="1"/>
        <v>3.0027274398165429</v>
      </c>
      <c r="J10" s="29"/>
      <c r="K10" s="29"/>
      <c r="L10" s="30"/>
    </row>
    <row r="11" spans="1:12" x14ac:dyDescent="0.2">
      <c r="A11" s="31">
        <v>10</v>
      </c>
      <c r="B11" s="34">
        <v>263.15904</v>
      </c>
      <c r="C11" s="30">
        <v>32.0548</v>
      </c>
      <c r="D11" s="30">
        <v>1.0132399999999999</v>
      </c>
      <c r="E11" s="29"/>
      <c r="F11" s="29"/>
      <c r="G11" s="35">
        <f t="shared" si="0"/>
        <v>3.32480634161307</v>
      </c>
      <c r="H11" s="118">
        <f t="shared" si="1"/>
        <v>3.32480634161307</v>
      </c>
      <c r="J11" s="29"/>
      <c r="K11" s="29"/>
      <c r="L11" s="30"/>
    </row>
    <row r="12" spans="1:12" x14ac:dyDescent="0.2">
      <c r="A12" s="31">
        <v>25</v>
      </c>
      <c r="B12" s="34">
        <v>276.21251999999998</v>
      </c>
      <c r="C12" s="30">
        <v>30.116250000000001</v>
      </c>
      <c r="D12" s="30">
        <v>1.00075</v>
      </c>
      <c r="E12" s="29"/>
      <c r="F12" s="29"/>
      <c r="G12" s="9">
        <f t="shared" si="0"/>
        <v>3.7810500294075067</v>
      </c>
      <c r="H12" s="9">
        <f t="shared" si="1"/>
        <v>3.7810500294075067</v>
      </c>
      <c r="J12" s="29"/>
      <c r="K12" s="29"/>
      <c r="L12" s="30"/>
    </row>
    <row r="13" spans="1:12" x14ac:dyDescent="0.2">
      <c r="A13" s="31">
        <v>50</v>
      </c>
      <c r="B13" s="34">
        <v>285.40821999999997</v>
      </c>
      <c r="C13" s="30">
        <v>28.755269999999999</v>
      </c>
      <c r="D13" s="30">
        <v>0.99195999999999995</v>
      </c>
      <c r="E13" s="29"/>
      <c r="F13" s="29"/>
      <c r="G13" s="9">
        <f t="shared" si="0"/>
        <v>4.1336398175643296</v>
      </c>
      <c r="H13" s="9">
        <f t="shared" si="1"/>
        <v>4.1336398175643296</v>
      </c>
    </row>
    <row r="14" spans="1:12" x14ac:dyDescent="0.2">
      <c r="A14" s="31">
        <v>100</v>
      </c>
      <c r="B14" s="34">
        <v>293.62644</v>
      </c>
      <c r="C14" s="30">
        <v>27.51709</v>
      </c>
      <c r="D14" s="30">
        <v>0.98404999999999998</v>
      </c>
      <c r="E14" s="29"/>
      <c r="F14" s="29"/>
      <c r="G14" s="9">
        <f t="shared" si="0"/>
        <v>4.4750410388683255</v>
      </c>
      <c r="H14" s="9">
        <f t="shared" si="1"/>
        <v>4.4750410388683255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2.9019264405955796</v>
      </c>
      <c r="H9" s="9">
        <f t="shared" ref="H9:H14" si="1">B9/(C9+$D$5)^D9</f>
        <v>2.9019264405955796</v>
      </c>
      <c r="J9" s="29"/>
      <c r="K9" s="29"/>
      <c r="L9" s="30"/>
    </row>
    <row r="10" spans="1:12" x14ac:dyDescent="0.2">
      <c r="A10" s="31">
        <v>5</v>
      </c>
      <c r="B10" s="34">
        <v>261.38427999999999</v>
      </c>
      <c r="C10" s="30">
        <v>32.321309999999997</v>
      </c>
      <c r="D10" s="30">
        <v>1.01495</v>
      </c>
      <c r="E10" s="29"/>
      <c r="F10" s="29"/>
      <c r="G10" s="9">
        <f t="shared" si="0"/>
        <v>3.2662915572629792</v>
      </c>
      <c r="H10" s="9">
        <f t="shared" si="1"/>
        <v>3.2662915572629792</v>
      </c>
      <c r="J10" s="29"/>
      <c r="K10" s="29"/>
      <c r="L10" s="30"/>
    </row>
    <row r="11" spans="1:12" x14ac:dyDescent="0.2">
      <c r="A11" s="31">
        <v>10</v>
      </c>
      <c r="B11" s="34">
        <v>269.34521000000001</v>
      </c>
      <c r="C11" s="30">
        <v>31.131879999999999</v>
      </c>
      <c r="D11" s="30">
        <v>1.0073099999999999</v>
      </c>
      <c r="E11" s="29"/>
      <c r="F11" s="29"/>
      <c r="G11" s="35">
        <f t="shared" si="0"/>
        <v>3.5351069216827433</v>
      </c>
      <c r="H11" s="118">
        <f t="shared" si="1"/>
        <v>3.5351069216827433</v>
      </c>
      <c r="J11" s="29"/>
      <c r="K11" s="29"/>
      <c r="L11" s="30"/>
    </row>
    <row r="12" spans="1:12" x14ac:dyDescent="0.2">
      <c r="A12" s="31">
        <v>25</v>
      </c>
      <c r="B12" s="34">
        <v>288.87468000000001</v>
      </c>
      <c r="C12" s="30">
        <v>29.410900000000002</v>
      </c>
      <c r="D12" s="30">
        <v>0.99619000000000002</v>
      </c>
      <c r="E12" s="29"/>
      <c r="F12" s="29"/>
      <c r="G12" s="9">
        <f t="shared" si="0"/>
        <v>4.0717542490468333</v>
      </c>
      <c r="H12" s="9">
        <f t="shared" si="1"/>
        <v>4.0717542490468333</v>
      </c>
      <c r="J12" s="29"/>
      <c r="K12" s="29"/>
      <c r="L12" s="30"/>
    </row>
    <row r="13" spans="1:12" x14ac:dyDescent="0.2">
      <c r="A13" s="31">
        <v>50</v>
      </c>
      <c r="B13" s="34">
        <v>288.87468000000001</v>
      </c>
      <c r="C13" s="30">
        <v>28.236509999999999</v>
      </c>
      <c r="D13" s="30">
        <v>0.98863999999999996</v>
      </c>
      <c r="E13" s="29"/>
      <c r="F13" s="29"/>
      <c r="G13" s="9">
        <f t="shared" si="0"/>
        <v>4.2742458725953059</v>
      </c>
      <c r="H13" s="9">
        <f t="shared" si="1"/>
        <v>4.2742458725953059</v>
      </c>
    </row>
    <row r="14" spans="1:12" x14ac:dyDescent="0.2">
      <c r="A14" s="31">
        <v>100</v>
      </c>
      <c r="B14" s="34">
        <v>296.40785</v>
      </c>
      <c r="C14" s="30">
        <v>27.086500000000001</v>
      </c>
      <c r="D14" s="30">
        <v>0.98134999999999994</v>
      </c>
      <c r="E14" s="29"/>
      <c r="F14" s="29"/>
      <c r="G14" s="9">
        <f t="shared" si="0"/>
        <v>4.5972542873105615</v>
      </c>
      <c r="H14" s="9">
        <f t="shared" si="1"/>
        <v>4.5972542873105615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2.5610140414432316</v>
      </c>
      <c r="H9" s="9">
        <f t="shared" ref="H9:H14" si="1">B9/(C9+$D$5)^D9</f>
        <v>2.5610140414432316</v>
      </c>
      <c r="J9" s="29"/>
      <c r="K9" s="29"/>
      <c r="L9" s="30"/>
    </row>
    <row r="10" spans="1:12" x14ac:dyDescent="0.2">
      <c r="A10" s="31">
        <v>5</v>
      </c>
      <c r="B10" s="34">
        <v>253.76636999999999</v>
      </c>
      <c r="C10" s="30">
        <v>33.481679999999997</v>
      </c>
      <c r="D10" s="30">
        <v>1.0223199999999999</v>
      </c>
      <c r="E10" s="29"/>
      <c r="F10" s="29"/>
      <c r="G10" s="9">
        <f t="shared" si="0"/>
        <v>3.0239513648962228</v>
      </c>
      <c r="H10" s="9">
        <f t="shared" si="1"/>
        <v>3.0239513648962228</v>
      </c>
      <c r="J10" s="29"/>
      <c r="K10" s="29"/>
      <c r="L10" s="30"/>
    </row>
    <row r="11" spans="1:12" x14ac:dyDescent="0.2">
      <c r="A11" s="31">
        <v>10</v>
      </c>
      <c r="B11" s="34">
        <v>263.78131000000002</v>
      </c>
      <c r="C11" s="30">
        <v>31.96134</v>
      </c>
      <c r="D11" s="30">
        <v>1.0126500000000001</v>
      </c>
      <c r="E11" s="29"/>
      <c r="F11" s="29"/>
      <c r="G11" s="35">
        <f t="shared" si="0"/>
        <v>3.3453972927642632</v>
      </c>
      <c r="H11" s="118">
        <f t="shared" si="1"/>
        <v>3.3453972927642632</v>
      </c>
      <c r="J11" s="29"/>
      <c r="K11" s="29"/>
      <c r="L11" s="30"/>
    </row>
    <row r="12" spans="1:12" x14ac:dyDescent="0.2">
      <c r="A12" s="31">
        <v>25</v>
      </c>
      <c r="B12" s="34">
        <v>277.32452000000001</v>
      </c>
      <c r="C12" s="30">
        <v>29.952089999999998</v>
      </c>
      <c r="D12" s="30">
        <v>0.99968999999999997</v>
      </c>
      <c r="E12" s="29"/>
      <c r="F12" s="29"/>
      <c r="G12" s="9">
        <f t="shared" si="0"/>
        <v>3.8221804045257488</v>
      </c>
      <c r="H12" s="9">
        <f t="shared" si="1"/>
        <v>3.8221804045257488</v>
      </c>
      <c r="J12" s="29"/>
      <c r="K12" s="29"/>
      <c r="L12" s="30"/>
    </row>
    <row r="13" spans="1:12" x14ac:dyDescent="0.2">
      <c r="A13" s="31">
        <v>50</v>
      </c>
      <c r="B13" s="34">
        <v>286.37653999999998</v>
      </c>
      <c r="C13" s="30">
        <v>28.610849999999999</v>
      </c>
      <c r="D13" s="30">
        <v>0.99104000000000003</v>
      </c>
      <c r="E13" s="29"/>
      <c r="F13" s="29"/>
      <c r="G13" s="9">
        <f t="shared" si="0"/>
        <v>4.1723436968316392</v>
      </c>
      <c r="H13" s="9">
        <f t="shared" si="1"/>
        <v>4.1723436968316392</v>
      </c>
    </row>
    <row r="14" spans="1:12" x14ac:dyDescent="0.2">
      <c r="A14" s="31">
        <v>100</v>
      </c>
      <c r="B14" s="34">
        <v>294.97888999999998</v>
      </c>
      <c r="C14" s="30">
        <v>27.308869999999999</v>
      </c>
      <c r="D14" s="30">
        <v>0.98273999999999995</v>
      </c>
      <c r="E14" s="29"/>
      <c r="F14" s="29"/>
      <c r="G14" s="9">
        <f t="shared" si="0"/>
        <v>4.5339750712136766</v>
      </c>
      <c r="H14" s="9">
        <f t="shared" si="1"/>
        <v>4.5339750712136766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2.603425195470261</v>
      </c>
      <c r="H9" s="9">
        <f t="shared" ref="H9:H14" si="1">B9/(C9+$D$5)^D9</f>
        <v>2.603425195470261</v>
      </c>
      <c r="J9" s="29"/>
      <c r="K9" s="29"/>
      <c r="L9" s="30"/>
    </row>
    <row r="10" spans="1:12" x14ac:dyDescent="0.2">
      <c r="A10" s="31">
        <v>5</v>
      </c>
      <c r="B10" s="34">
        <v>254.57509999999999</v>
      </c>
      <c r="C10" s="30">
        <v>33.357579999999999</v>
      </c>
      <c r="D10" s="30">
        <v>1.0215399999999999</v>
      </c>
      <c r="E10" s="29"/>
      <c r="F10" s="29"/>
      <c r="G10" s="9">
        <f t="shared" si="0"/>
        <v>3.0489323626925033</v>
      </c>
      <c r="H10" s="9">
        <f t="shared" si="1"/>
        <v>3.0489323626925033</v>
      </c>
      <c r="J10" s="29"/>
      <c r="K10" s="29"/>
      <c r="L10" s="30"/>
    </row>
    <row r="11" spans="1:12" x14ac:dyDescent="0.2">
      <c r="A11" s="31">
        <v>10</v>
      </c>
      <c r="B11" s="34">
        <v>265.33812</v>
      </c>
      <c r="C11" s="30">
        <v>31.728549999999998</v>
      </c>
      <c r="D11" s="30">
        <v>1.01115</v>
      </c>
      <c r="E11" s="29"/>
      <c r="F11" s="29"/>
      <c r="G11" s="35">
        <f t="shared" si="0"/>
        <v>3.3976943342799149</v>
      </c>
      <c r="H11" s="118">
        <f t="shared" si="1"/>
        <v>3.3976943342799149</v>
      </c>
      <c r="J11" s="29"/>
      <c r="K11" s="29"/>
      <c r="L11" s="30"/>
    </row>
    <row r="12" spans="1:12" x14ac:dyDescent="0.2">
      <c r="A12" s="31">
        <v>25</v>
      </c>
      <c r="B12" s="34">
        <v>278.27661000000001</v>
      </c>
      <c r="C12" s="30">
        <v>29.811530000000001</v>
      </c>
      <c r="D12" s="30">
        <v>0.99878</v>
      </c>
      <c r="E12" s="29"/>
      <c r="F12" s="29"/>
      <c r="G12" s="9">
        <f t="shared" si="0"/>
        <v>3.8577436291717992</v>
      </c>
      <c r="H12" s="9">
        <f t="shared" si="1"/>
        <v>3.8577436291717992</v>
      </c>
      <c r="J12" s="29"/>
      <c r="K12" s="29"/>
      <c r="L12" s="30"/>
    </row>
    <row r="13" spans="1:12" x14ac:dyDescent="0.2">
      <c r="A13" s="31">
        <v>50</v>
      </c>
      <c r="B13" s="34">
        <v>287.58051</v>
      </c>
      <c r="C13" s="30">
        <v>28.431000000000001</v>
      </c>
      <c r="D13" s="30">
        <v>0.98987999999999998</v>
      </c>
      <c r="E13" s="29"/>
      <c r="F13" s="29"/>
      <c r="G13" s="9">
        <f t="shared" si="0"/>
        <v>4.2212137170851962</v>
      </c>
      <c r="H13" s="9">
        <f t="shared" si="1"/>
        <v>4.2212137170851962</v>
      </c>
    </row>
    <row r="14" spans="1:12" x14ac:dyDescent="0.2">
      <c r="A14" s="31">
        <v>100</v>
      </c>
      <c r="B14" s="34">
        <v>296.11192</v>
      </c>
      <c r="C14" s="30">
        <v>27.133880000000001</v>
      </c>
      <c r="D14" s="30">
        <v>0.98163999999999996</v>
      </c>
      <c r="E14" s="29"/>
      <c r="F14" s="29"/>
      <c r="G14" s="9">
        <f t="shared" si="0"/>
        <v>4.5839585434610122</v>
      </c>
      <c r="H14" s="9">
        <f t="shared" si="1"/>
        <v>4.5839585434610122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2.9890986388175302</v>
      </c>
      <c r="H9" s="9">
        <f t="shared" ref="H9:H14" si="1">B9/(C9+$D$5)^D9</f>
        <v>2.9890986388175302</v>
      </c>
      <c r="J9" s="29"/>
      <c r="K9" s="29"/>
      <c r="L9" s="30"/>
    </row>
    <row r="10" spans="1:12" x14ac:dyDescent="0.2">
      <c r="A10" s="31">
        <v>5</v>
      </c>
      <c r="B10" s="34">
        <v>263.35487999999998</v>
      </c>
      <c r="C10" s="30">
        <v>32.025089999999999</v>
      </c>
      <c r="D10" s="30">
        <v>1.0130600000000001</v>
      </c>
      <c r="E10" s="29"/>
      <c r="F10" s="29"/>
      <c r="G10" s="9">
        <f t="shared" si="0"/>
        <v>3.3312066639221332</v>
      </c>
      <c r="H10" s="9">
        <f t="shared" si="1"/>
        <v>3.3312066639221332</v>
      </c>
      <c r="J10" s="29"/>
      <c r="K10" s="29"/>
      <c r="L10" s="30"/>
    </row>
    <row r="11" spans="1:12" x14ac:dyDescent="0.2">
      <c r="A11" s="31">
        <v>10</v>
      </c>
      <c r="B11" s="34">
        <v>271.20123999999998</v>
      </c>
      <c r="C11" s="30">
        <v>30.856809999999999</v>
      </c>
      <c r="D11" s="30">
        <v>1.0055400000000001</v>
      </c>
      <c r="E11" s="29"/>
      <c r="F11" s="29"/>
      <c r="G11" s="35">
        <f t="shared" si="0"/>
        <v>3.6001597274396357</v>
      </c>
      <c r="H11" s="118">
        <f t="shared" si="1"/>
        <v>3.6001597274396357</v>
      </c>
      <c r="J11" s="29"/>
      <c r="K11" s="29"/>
      <c r="L11" s="30"/>
    </row>
    <row r="12" spans="1:12" x14ac:dyDescent="0.2">
      <c r="A12" s="31">
        <v>25</v>
      </c>
      <c r="B12" s="34">
        <v>282.27166999999997</v>
      </c>
      <c r="C12" s="30">
        <v>29.22082</v>
      </c>
      <c r="D12" s="30">
        <v>0.99494000000000005</v>
      </c>
      <c r="E12" s="29"/>
      <c r="F12" s="29"/>
      <c r="G12" s="9">
        <f t="shared" si="0"/>
        <v>4.010535378453624</v>
      </c>
      <c r="H12" s="9">
        <f t="shared" si="1"/>
        <v>4.010535378453624</v>
      </c>
      <c r="J12" s="29"/>
      <c r="K12" s="29"/>
      <c r="L12" s="30"/>
    </row>
    <row r="13" spans="1:12" x14ac:dyDescent="0.2">
      <c r="A13" s="31">
        <v>50</v>
      </c>
      <c r="B13" s="34">
        <v>290.40814</v>
      </c>
      <c r="C13" s="30">
        <v>28.005379999999999</v>
      </c>
      <c r="D13" s="30">
        <v>0.98716000000000004</v>
      </c>
      <c r="E13" s="29"/>
      <c r="F13" s="29"/>
      <c r="G13" s="9">
        <f t="shared" si="0"/>
        <v>4.3380768742441438</v>
      </c>
      <c r="H13" s="9">
        <f t="shared" si="1"/>
        <v>4.3380768742441438</v>
      </c>
    </row>
    <row r="14" spans="1:12" x14ac:dyDescent="0.2">
      <c r="A14" s="31">
        <v>100</v>
      </c>
      <c r="B14" s="34">
        <v>297.47764999999998</v>
      </c>
      <c r="C14" s="30">
        <v>26.91919</v>
      </c>
      <c r="D14" s="30">
        <v>0.98031000000000001</v>
      </c>
      <c r="E14" s="29"/>
      <c r="F14" s="29"/>
      <c r="G14" s="9">
        <f t="shared" si="0"/>
        <v>4.6451806379421701</v>
      </c>
      <c r="H14" s="9">
        <f t="shared" si="1"/>
        <v>4.6451806379421701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2.6224794839047392</v>
      </c>
      <c r="H9" s="9">
        <f t="shared" ref="H9:H14" si="1">B9/(C9+$D$5)^D9</f>
        <v>2.6224794839047392</v>
      </c>
      <c r="J9" s="29"/>
      <c r="K9" s="29"/>
      <c r="L9" s="30"/>
    </row>
    <row r="10" spans="1:12" x14ac:dyDescent="0.2">
      <c r="A10" s="31">
        <v>5</v>
      </c>
      <c r="B10" s="34">
        <v>255.19143</v>
      </c>
      <c r="C10" s="30">
        <v>33.262779999999999</v>
      </c>
      <c r="D10" s="30">
        <v>1.02094</v>
      </c>
      <c r="E10" s="29"/>
      <c r="F10" s="29"/>
      <c r="G10" s="9">
        <f t="shared" si="0"/>
        <v>3.0681714840210788</v>
      </c>
      <c r="H10" s="9">
        <f t="shared" si="1"/>
        <v>3.0681714840210788</v>
      </c>
      <c r="J10" s="29"/>
      <c r="K10" s="29"/>
      <c r="L10" s="30"/>
    </row>
    <row r="11" spans="1:12" x14ac:dyDescent="0.2">
      <c r="A11" s="31">
        <v>10</v>
      </c>
      <c r="B11" s="34">
        <v>265.20096000000001</v>
      </c>
      <c r="C11" s="30">
        <v>31.748999999999999</v>
      </c>
      <c r="D11" s="30">
        <v>1.01128</v>
      </c>
      <c r="E11" s="29"/>
      <c r="F11" s="29"/>
      <c r="G11" s="35">
        <f t="shared" si="0"/>
        <v>3.3930930419240513</v>
      </c>
      <c r="H11" s="118">
        <f t="shared" si="1"/>
        <v>3.3930930419240513</v>
      </c>
      <c r="J11" s="29"/>
      <c r="K11" s="29"/>
      <c r="L11" s="30"/>
    </row>
    <row r="12" spans="1:12" x14ac:dyDescent="0.2">
      <c r="A12" s="31">
        <v>25</v>
      </c>
      <c r="B12" s="34">
        <v>278.49725000000001</v>
      </c>
      <c r="C12" s="30">
        <v>29.778949999999998</v>
      </c>
      <c r="D12" s="30">
        <v>0.99856999999999996</v>
      </c>
      <c r="E12" s="29"/>
      <c r="F12" s="29"/>
      <c r="G12" s="9">
        <f t="shared" si="0"/>
        <v>3.8660115794058032</v>
      </c>
      <c r="H12" s="9">
        <f t="shared" si="1"/>
        <v>3.8660115794058032</v>
      </c>
      <c r="J12" s="29"/>
      <c r="K12" s="29"/>
      <c r="L12" s="30"/>
    </row>
    <row r="13" spans="1:12" x14ac:dyDescent="0.2">
      <c r="A13" s="31">
        <v>50</v>
      </c>
      <c r="B13" s="34">
        <v>287.80007000000001</v>
      </c>
      <c r="C13" s="30">
        <v>28.398219999999998</v>
      </c>
      <c r="D13" s="30">
        <v>0.98967000000000005</v>
      </c>
      <c r="E13" s="29"/>
      <c r="F13" s="29"/>
      <c r="G13" s="9">
        <f t="shared" si="0"/>
        <v>4.2301506630739656</v>
      </c>
      <c r="H13" s="9">
        <f t="shared" si="1"/>
        <v>4.2301506630739656</v>
      </c>
    </row>
    <row r="14" spans="1:12" x14ac:dyDescent="0.2">
      <c r="A14" s="31">
        <v>100</v>
      </c>
      <c r="B14" s="34">
        <v>295.94022000000001</v>
      </c>
      <c r="C14" s="30">
        <v>27.160820000000001</v>
      </c>
      <c r="D14" s="30">
        <v>0.98180999999999996</v>
      </c>
      <c r="E14" s="29"/>
      <c r="F14" s="29"/>
      <c r="G14" s="9">
        <f t="shared" si="0"/>
        <v>4.5762615046222663</v>
      </c>
      <c r="H14" s="9">
        <f t="shared" si="1"/>
        <v>4.5762615046222663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2.7152631631468864</v>
      </c>
      <c r="H9" s="9">
        <f t="shared" ref="H9:H14" si="1">B9/(C9+$D$5)^D9</f>
        <v>2.7152631631468864</v>
      </c>
      <c r="J9" s="29"/>
      <c r="K9" s="29"/>
      <c r="L9" s="30"/>
    </row>
    <row r="10" spans="1:12" x14ac:dyDescent="0.2">
      <c r="A10" s="31">
        <v>5</v>
      </c>
      <c r="B10" s="34">
        <v>257.20585</v>
      </c>
      <c r="C10" s="30">
        <v>32.954790000000003</v>
      </c>
      <c r="D10" s="30">
        <v>1.01898</v>
      </c>
      <c r="E10" s="29"/>
      <c r="F10" s="29"/>
      <c r="G10" s="9">
        <f t="shared" si="0"/>
        <v>3.1316863529655352</v>
      </c>
      <c r="H10" s="9">
        <f t="shared" si="1"/>
        <v>3.1316863529655352</v>
      </c>
      <c r="J10" s="29"/>
      <c r="K10" s="29"/>
      <c r="L10" s="30"/>
    </row>
    <row r="11" spans="1:12" x14ac:dyDescent="0.2">
      <c r="A11" s="31">
        <v>10</v>
      </c>
      <c r="B11" s="34">
        <v>266.59332999999998</v>
      </c>
      <c r="C11" s="30">
        <v>31.54121</v>
      </c>
      <c r="D11" s="30">
        <v>1.0099499999999999</v>
      </c>
      <c r="E11" s="29"/>
      <c r="F11" s="29"/>
      <c r="G11" s="35">
        <f t="shared" si="0"/>
        <v>3.4402137278296196</v>
      </c>
      <c r="H11" s="118">
        <f t="shared" si="1"/>
        <v>3.4402137278296196</v>
      </c>
      <c r="J11" s="29"/>
      <c r="K11" s="29"/>
      <c r="L11" s="30"/>
    </row>
    <row r="12" spans="1:12" x14ac:dyDescent="0.2">
      <c r="A12" s="31">
        <v>25</v>
      </c>
      <c r="B12" s="34">
        <v>279.10068000000001</v>
      </c>
      <c r="C12" s="30">
        <v>29.689830000000001</v>
      </c>
      <c r="D12" s="30">
        <v>0.99799000000000004</v>
      </c>
      <c r="E12" s="29"/>
      <c r="F12" s="29"/>
      <c r="G12" s="9">
        <f t="shared" si="0"/>
        <v>3.8887973788497288</v>
      </c>
      <c r="H12" s="9">
        <f t="shared" si="1"/>
        <v>3.8887973788497288</v>
      </c>
      <c r="J12" s="29"/>
      <c r="K12" s="29"/>
      <c r="L12" s="30"/>
    </row>
    <row r="13" spans="1:12" x14ac:dyDescent="0.2">
      <c r="A13" s="31">
        <v>50</v>
      </c>
      <c r="B13" s="34">
        <v>287.98860000000002</v>
      </c>
      <c r="C13" s="30">
        <v>28.369949999999999</v>
      </c>
      <c r="D13" s="30">
        <v>0.98948999999999998</v>
      </c>
      <c r="E13" s="29"/>
      <c r="F13" s="29"/>
      <c r="G13" s="9">
        <f t="shared" si="0"/>
        <v>4.2378391925847412</v>
      </c>
      <c r="H13" s="9">
        <f t="shared" si="1"/>
        <v>4.2378391925847412</v>
      </c>
    </row>
    <row r="14" spans="1:12" x14ac:dyDescent="0.2">
      <c r="A14" s="31">
        <v>100</v>
      </c>
      <c r="B14" s="34">
        <v>295.95202</v>
      </c>
      <c r="C14" s="30">
        <v>27.15897</v>
      </c>
      <c r="D14" s="30">
        <v>0.98180000000000001</v>
      </c>
      <c r="E14" s="29"/>
      <c r="F14" s="29"/>
      <c r="G14" s="9">
        <f t="shared" si="0"/>
        <v>4.5767573078782027</v>
      </c>
      <c r="H14" s="9">
        <f t="shared" si="1"/>
        <v>4.5767573078782027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2.666263323822752</v>
      </c>
      <c r="H9" s="9">
        <f t="shared" ref="H9:H14" si="1">B9/(C9+$D$5)^D9</f>
        <v>2.666263323822752</v>
      </c>
      <c r="J9" s="29"/>
      <c r="K9" s="29"/>
      <c r="L9" s="30"/>
    </row>
    <row r="10" spans="1:12" x14ac:dyDescent="0.2">
      <c r="A10" s="31">
        <v>5</v>
      </c>
      <c r="B10" s="34">
        <v>255.60579000000001</v>
      </c>
      <c r="C10" s="30">
        <v>33.199210000000001</v>
      </c>
      <c r="D10" s="30">
        <v>1.0205299999999999</v>
      </c>
      <c r="E10" s="29"/>
      <c r="F10" s="29"/>
      <c r="G10" s="9">
        <f t="shared" si="0"/>
        <v>3.0812457244227738</v>
      </c>
      <c r="H10" s="9">
        <f t="shared" si="1"/>
        <v>3.0812457244227738</v>
      </c>
      <c r="J10" s="29"/>
      <c r="K10" s="29"/>
      <c r="L10" s="30"/>
    </row>
    <row r="11" spans="1:12" x14ac:dyDescent="0.2">
      <c r="A11" s="31">
        <v>10</v>
      </c>
      <c r="B11" s="34">
        <v>265.91649999999998</v>
      </c>
      <c r="C11" s="30">
        <v>31.642119999999998</v>
      </c>
      <c r="D11" s="30">
        <v>1.0105999999999999</v>
      </c>
      <c r="E11" s="29"/>
      <c r="F11" s="29"/>
      <c r="G11" s="35">
        <f t="shared" si="0"/>
        <v>3.4171918578995841</v>
      </c>
      <c r="H11" s="118">
        <f t="shared" si="1"/>
        <v>3.4171918578995841</v>
      </c>
      <c r="J11" s="29"/>
      <c r="K11" s="29"/>
      <c r="L11" s="30"/>
    </row>
    <row r="12" spans="1:12" x14ac:dyDescent="0.2">
      <c r="A12" s="31">
        <v>25</v>
      </c>
      <c r="B12" s="34">
        <v>279.12966999999998</v>
      </c>
      <c r="C12" s="30">
        <v>29.68554</v>
      </c>
      <c r="D12" s="30">
        <v>0.99797000000000002</v>
      </c>
      <c r="E12" s="29"/>
      <c r="F12" s="29"/>
      <c r="G12" s="9">
        <f t="shared" si="0"/>
        <v>3.8897644432088416</v>
      </c>
      <c r="H12" s="9">
        <f t="shared" si="1"/>
        <v>3.8897644432088416</v>
      </c>
      <c r="J12" s="29"/>
      <c r="K12" s="29"/>
      <c r="L12" s="30"/>
    </row>
    <row r="13" spans="1:12" x14ac:dyDescent="0.2">
      <c r="A13" s="31">
        <v>50</v>
      </c>
      <c r="B13" s="34">
        <v>287.73534999999998</v>
      </c>
      <c r="C13" s="30">
        <v>28.407810000000001</v>
      </c>
      <c r="D13" s="30">
        <v>0.98973</v>
      </c>
      <c r="E13" s="29"/>
      <c r="F13" s="29"/>
      <c r="G13" s="9">
        <f t="shared" si="0"/>
        <v>4.2275531505146482</v>
      </c>
      <c r="H13" s="9">
        <f t="shared" si="1"/>
        <v>4.2275531505146482</v>
      </c>
    </row>
    <row r="14" spans="1:12" x14ac:dyDescent="0.2">
      <c r="A14" s="31">
        <v>100</v>
      </c>
      <c r="B14" s="34">
        <v>296.11192</v>
      </c>
      <c r="C14" s="30">
        <v>27.133880000000001</v>
      </c>
      <c r="D14" s="30">
        <v>0.98163999999999996</v>
      </c>
      <c r="E14" s="29"/>
      <c r="F14" s="29"/>
      <c r="G14" s="9">
        <f t="shared" si="0"/>
        <v>4.5839585434610122</v>
      </c>
      <c r="H14" s="9">
        <f t="shared" si="1"/>
        <v>4.5839585434610122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2.8706253792970298</v>
      </c>
      <c r="H9" s="9">
        <f t="shared" ref="H9:H14" si="1">B9/(C9+$D$5)^D9</f>
        <v>2.8706253792970298</v>
      </c>
      <c r="J9" s="29"/>
      <c r="K9" s="29"/>
      <c r="L9" s="30"/>
    </row>
    <row r="10" spans="1:12" x14ac:dyDescent="0.2">
      <c r="A10" s="31">
        <v>5</v>
      </c>
      <c r="B10" s="34">
        <v>260.21913999999998</v>
      </c>
      <c r="C10" s="30">
        <v>32.497070000000001</v>
      </c>
      <c r="D10" s="30">
        <v>1.01607</v>
      </c>
      <c r="E10" s="29"/>
      <c r="F10" s="29"/>
      <c r="G10" s="9">
        <f t="shared" si="0"/>
        <v>3.2283596748595507</v>
      </c>
      <c r="H10" s="9">
        <f t="shared" si="1"/>
        <v>3.2283596748595507</v>
      </c>
      <c r="J10" s="29"/>
      <c r="K10" s="29"/>
      <c r="L10" s="30"/>
    </row>
    <row r="11" spans="1:12" x14ac:dyDescent="0.2">
      <c r="A11" s="31">
        <v>10</v>
      </c>
      <c r="B11" s="34">
        <v>268.83895999999999</v>
      </c>
      <c r="C11" s="30">
        <v>31.20702</v>
      </c>
      <c r="D11" s="30">
        <v>1.0078</v>
      </c>
      <c r="E11" s="29"/>
      <c r="F11" s="29"/>
      <c r="G11" s="35">
        <f t="shared" si="0"/>
        <v>3.5174250932242268</v>
      </c>
      <c r="H11" s="118">
        <f t="shared" si="1"/>
        <v>3.5174250932242268</v>
      </c>
      <c r="J11" s="29"/>
      <c r="K11" s="29"/>
      <c r="L11" s="30"/>
    </row>
    <row r="12" spans="1:12" x14ac:dyDescent="0.2">
      <c r="A12" s="31">
        <v>25</v>
      </c>
      <c r="B12" s="34">
        <v>280.74806000000001</v>
      </c>
      <c r="C12" s="30">
        <v>29.446339999999999</v>
      </c>
      <c r="D12" s="30">
        <v>0.99641999999999997</v>
      </c>
      <c r="E12" s="29"/>
      <c r="F12" s="29"/>
      <c r="G12" s="9">
        <f t="shared" si="0"/>
        <v>3.9513807690023159</v>
      </c>
      <c r="H12" s="9">
        <f t="shared" si="1"/>
        <v>3.9513807690023159</v>
      </c>
      <c r="J12" s="29"/>
      <c r="K12" s="29"/>
      <c r="L12" s="30"/>
    </row>
    <row r="13" spans="1:12" x14ac:dyDescent="0.2">
      <c r="A13" s="31">
        <v>50</v>
      </c>
      <c r="B13" s="34">
        <v>289.11743999999999</v>
      </c>
      <c r="C13" s="30">
        <v>28.200089999999999</v>
      </c>
      <c r="D13" s="30">
        <v>0.98839999999999995</v>
      </c>
      <c r="E13" s="29"/>
      <c r="F13" s="29"/>
      <c r="G13" s="9">
        <f t="shared" si="0"/>
        <v>4.2843896813756315</v>
      </c>
      <c r="H13" s="9">
        <f t="shared" si="1"/>
        <v>4.2843896813756315</v>
      </c>
    </row>
    <row r="14" spans="1:12" x14ac:dyDescent="0.2">
      <c r="A14" s="31">
        <v>100</v>
      </c>
      <c r="B14" s="34">
        <v>296.42743999999999</v>
      </c>
      <c r="C14" s="30">
        <v>27.08362</v>
      </c>
      <c r="D14" s="30">
        <v>0.98133000000000004</v>
      </c>
      <c r="E14" s="29"/>
      <c r="F14" s="29"/>
      <c r="G14" s="9">
        <f t="shared" si="0"/>
        <v>4.5981347309875247</v>
      </c>
      <c r="H14" s="9">
        <f t="shared" si="1"/>
        <v>4.5981347309875247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2.6688047187079484</v>
      </c>
      <c r="H9" s="9">
        <f t="shared" ref="H9:H14" si="1">B9/(C9+$D$5)^D9</f>
        <v>2.6688047187079484</v>
      </c>
      <c r="J9" s="29"/>
      <c r="K9" s="29"/>
      <c r="L9" s="30"/>
    </row>
    <row r="10" spans="1:12" x14ac:dyDescent="0.2">
      <c r="A10" s="31">
        <v>5</v>
      </c>
      <c r="B10" s="34">
        <v>255.90621999999999</v>
      </c>
      <c r="C10" s="30">
        <v>33.153260000000003</v>
      </c>
      <c r="D10" s="30">
        <v>1.02024</v>
      </c>
      <c r="E10" s="29"/>
      <c r="F10" s="29"/>
      <c r="G10" s="9">
        <f t="shared" si="0"/>
        <v>3.0906518327282293</v>
      </c>
      <c r="H10" s="9">
        <f t="shared" si="1"/>
        <v>3.0906518327282293</v>
      </c>
      <c r="J10" s="29"/>
      <c r="K10" s="29"/>
      <c r="L10" s="30"/>
    </row>
    <row r="11" spans="1:12" x14ac:dyDescent="0.2">
      <c r="A11" s="31">
        <v>10</v>
      </c>
      <c r="B11" s="34">
        <v>265.82508000000001</v>
      </c>
      <c r="C11" s="30">
        <v>31.65579</v>
      </c>
      <c r="D11" s="30">
        <v>1.01068</v>
      </c>
      <c r="E11" s="29"/>
      <c r="F11" s="29"/>
      <c r="G11" s="35">
        <f t="shared" si="0"/>
        <v>3.4142052723891307</v>
      </c>
      <c r="H11" s="118">
        <f t="shared" si="1"/>
        <v>3.4142052723891307</v>
      </c>
      <c r="J11" s="29"/>
      <c r="K11" s="29"/>
      <c r="L11" s="30"/>
    </row>
    <row r="12" spans="1:12" x14ac:dyDescent="0.2">
      <c r="A12" s="31">
        <v>25</v>
      </c>
      <c r="B12" s="34">
        <v>278.87729000000002</v>
      </c>
      <c r="C12" s="30">
        <v>29.722819999999999</v>
      </c>
      <c r="D12" s="30">
        <v>0.99821000000000004</v>
      </c>
      <c r="E12" s="29"/>
      <c r="F12" s="29"/>
      <c r="G12" s="9">
        <f t="shared" si="0"/>
        <v>3.8802608517109958</v>
      </c>
      <c r="H12" s="9">
        <f t="shared" si="1"/>
        <v>3.8802608517109958</v>
      </c>
      <c r="J12" s="29"/>
      <c r="K12" s="29"/>
      <c r="L12" s="30"/>
    </row>
    <row r="13" spans="1:12" x14ac:dyDescent="0.2">
      <c r="A13" s="31">
        <v>50</v>
      </c>
      <c r="B13" s="34">
        <v>287.70310000000001</v>
      </c>
      <c r="C13" s="30">
        <v>28.412700000000001</v>
      </c>
      <c r="D13" s="30">
        <v>0.98975999999999997</v>
      </c>
      <c r="E13" s="29"/>
      <c r="F13" s="29"/>
      <c r="G13" s="9">
        <f t="shared" si="0"/>
        <v>4.226250942989604</v>
      </c>
      <c r="H13" s="9">
        <f t="shared" si="1"/>
        <v>4.226250942989604</v>
      </c>
    </row>
    <row r="14" spans="1:12" x14ac:dyDescent="0.2">
      <c r="A14" s="31">
        <v>100</v>
      </c>
      <c r="B14" s="34">
        <v>295.99838</v>
      </c>
      <c r="C14" s="30">
        <v>27.151769999999999</v>
      </c>
      <c r="D14" s="30">
        <v>0.98175000000000001</v>
      </c>
      <c r="E14" s="29"/>
      <c r="F14" s="29"/>
      <c r="G14" s="9">
        <f t="shared" si="0"/>
        <v>4.5789095625408667</v>
      </c>
      <c r="H14" s="9">
        <f t="shared" si="1"/>
        <v>4.5789095625408667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3.1474609514844323</v>
      </c>
      <c r="H9" s="9">
        <f t="shared" ref="H9:H14" si="1">B9/(C9+$D$5)^D9</f>
        <v>3.1474609514844323</v>
      </c>
      <c r="J9" s="29"/>
      <c r="K9" s="29"/>
      <c r="L9" s="30"/>
    </row>
    <row r="10" spans="1:12" x14ac:dyDescent="0.2">
      <c r="A10" s="31">
        <v>5</v>
      </c>
      <c r="B10" s="34">
        <v>270.87616000000003</v>
      </c>
      <c r="C10" s="30">
        <v>30.90504</v>
      </c>
      <c r="D10" s="30">
        <v>1.0058499999999999</v>
      </c>
      <c r="E10" s="29"/>
      <c r="F10" s="29"/>
      <c r="G10" s="9">
        <f t="shared" si="0"/>
        <v>3.5886896310354501</v>
      </c>
      <c r="H10" s="9">
        <f t="shared" si="1"/>
        <v>3.5886896310354501</v>
      </c>
      <c r="J10" s="29"/>
      <c r="K10" s="29"/>
      <c r="L10" s="30"/>
    </row>
    <row r="11" spans="1:12" x14ac:dyDescent="0.2">
      <c r="A11" s="31">
        <v>10</v>
      </c>
      <c r="B11" s="34">
        <v>279.22149999999999</v>
      </c>
      <c r="C11" s="30">
        <v>29.671980000000001</v>
      </c>
      <c r="D11" s="30">
        <v>0.99787999999999999</v>
      </c>
      <c r="E11" s="29"/>
      <c r="F11" s="29"/>
      <c r="G11" s="35">
        <f t="shared" si="0"/>
        <v>3.8932717228125595</v>
      </c>
      <c r="H11" s="118">
        <f t="shared" si="1"/>
        <v>3.8932717228125595</v>
      </c>
      <c r="J11" s="29"/>
      <c r="K11" s="29"/>
      <c r="L11" s="30"/>
    </row>
    <row r="12" spans="1:12" x14ac:dyDescent="0.2">
      <c r="A12" s="31">
        <v>25</v>
      </c>
      <c r="B12" s="34">
        <v>289.92786999999998</v>
      </c>
      <c r="C12" s="30">
        <v>28.093499999999999</v>
      </c>
      <c r="D12" s="30">
        <v>0.98772000000000004</v>
      </c>
      <c r="E12" s="29"/>
      <c r="F12" s="29"/>
      <c r="G12" s="9">
        <f t="shared" si="0"/>
        <v>4.3152747613046119</v>
      </c>
      <c r="H12" s="9">
        <f t="shared" si="1"/>
        <v>4.3152747613046119</v>
      </c>
      <c r="J12" s="29"/>
      <c r="K12" s="29"/>
      <c r="L12" s="30"/>
    </row>
    <row r="13" spans="1:12" x14ac:dyDescent="0.2">
      <c r="A13" s="31">
        <v>50</v>
      </c>
      <c r="B13" s="34">
        <v>297.03444999999999</v>
      </c>
      <c r="C13" s="30">
        <v>26.990010000000002</v>
      </c>
      <c r="D13" s="30">
        <v>0.98073999999999995</v>
      </c>
      <c r="E13" s="29"/>
      <c r="F13" s="29"/>
      <c r="G13" s="9">
        <f t="shared" si="0"/>
        <v>4.6251908790864347</v>
      </c>
      <c r="H13" s="9">
        <f t="shared" si="1"/>
        <v>4.6251908790864347</v>
      </c>
    </row>
    <row r="14" spans="1:12" x14ac:dyDescent="0.2">
      <c r="A14" s="31">
        <v>100</v>
      </c>
      <c r="B14" s="34">
        <v>303.39913999999999</v>
      </c>
      <c r="C14" s="30">
        <v>25.972549999999998</v>
      </c>
      <c r="D14" s="30">
        <v>0.97448000000000001</v>
      </c>
      <c r="E14" s="29"/>
      <c r="F14" s="29"/>
      <c r="G14" s="9">
        <f t="shared" si="0"/>
        <v>4.9215253716221596</v>
      </c>
      <c r="H14" s="9">
        <f t="shared" si="1"/>
        <v>4.9215253716221596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2.5516714113673977</v>
      </c>
      <c r="H9" s="9">
        <f t="shared" ref="H9:H14" si="1">B9/(C9+$D$5)^D9</f>
        <v>2.5516714113673977</v>
      </c>
      <c r="J9" s="29"/>
      <c r="K9" s="29"/>
      <c r="L9" s="30"/>
    </row>
    <row r="10" spans="1:12" x14ac:dyDescent="0.2">
      <c r="A10" s="31">
        <v>5</v>
      </c>
      <c r="B10" s="34">
        <v>253.72864999999999</v>
      </c>
      <c r="C10" s="30">
        <v>33.487439999999999</v>
      </c>
      <c r="D10" s="30">
        <v>1.0223599999999999</v>
      </c>
      <c r="E10" s="29"/>
      <c r="F10" s="29"/>
      <c r="G10" s="9">
        <f t="shared" si="0"/>
        <v>3.0227442253539367</v>
      </c>
      <c r="H10" s="9">
        <f t="shared" si="1"/>
        <v>3.0227442253539367</v>
      </c>
      <c r="J10" s="29"/>
      <c r="K10" s="29"/>
      <c r="L10" s="30"/>
    </row>
    <row r="11" spans="1:12" x14ac:dyDescent="0.2">
      <c r="A11" s="31">
        <v>10</v>
      </c>
      <c r="B11" s="34">
        <v>263.58690999999999</v>
      </c>
      <c r="C11" s="30">
        <v>31.99044</v>
      </c>
      <c r="D11" s="30">
        <v>1.0128299999999999</v>
      </c>
      <c r="E11" s="29"/>
      <c r="F11" s="29"/>
      <c r="G11" s="35">
        <f t="shared" si="0"/>
        <v>3.3390194926190282</v>
      </c>
      <c r="H11" s="118">
        <f t="shared" si="1"/>
        <v>3.3390194926190282</v>
      </c>
      <c r="J11" s="29"/>
      <c r="K11" s="29"/>
      <c r="L11" s="30"/>
    </row>
    <row r="12" spans="1:12" x14ac:dyDescent="0.2">
      <c r="A12" s="31">
        <v>25</v>
      </c>
      <c r="B12" s="34">
        <v>277.53219999999999</v>
      </c>
      <c r="C12" s="30">
        <v>29.921430000000001</v>
      </c>
      <c r="D12" s="30">
        <v>0.99948999999999999</v>
      </c>
      <c r="E12" s="29"/>
      <c r="F12" s="29"/>
      <c r="G12" s="9">
        <f t="shared" si="0"/>
        <v>3.8299381507720356</v>
      </c>
      <c r="H12" s="9">
        <f t="shared" si="1"/>
        <v>3.8299381507720356</v>
      </c>
      <c r="J12" s="29"/>
      <c r="K12" s="29"/>
      <c r="L12" s="30"/>
    </row>
    <row r="13" spans="1:12" x14ac:dyDescent="0.2">
      <c r="A13" s="31">
        <v>50</v>
      </c>
      <c r="B13" s="34">
        <v>286.46476000000001</v>
      </c>
      <c r="C13" s="30">
        <v>28.597670000000001</v>
      </c>
      <c r="D13" s="30">
        <v>0.99095</v>
      </c>
      <c r="E13" s="29"/>
      <c r="F13" s="29"/>
      <c r="G13" s="9">
        <f t="shared" si="0"/>
        <v>4.1759969741175711</v>
      </c>
      <c r="H13" s="9">
        <f t="shared" si="1"/>
        <v>4.1759969741175711</v>
      </c>
    </row>
    <row r="14" spans="1:12" x14ac:dyDescent="0.2">
      <c r="A14" s="31">
        <v>100</v>
      </c>
      <c r="B14" s="34">
        <v>295.10935000000001</v>
      </c>
      <c r="C14" s="30">
        <v>27.28867</v>
      </c>
      <c r="D14" s="30">
        <v>0.98262000000000005</v>
      </c>
      <c r="E14" s="29"/>
      <c r="F14" s="29"/>
      <c r="G14" s="9">
        <f t="shared" si="0"/>
        <v>4.5395805521462327</v>
      </c>
      <c r="H14" s="9">
        <f t="shared" si="1"/>
        <v>4.5395805521462327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2.6268687173339251</v>
      </c>
      <c r="H9" s="9">
        <f t="shared" ref="H9:H14" si="1">B9/(C9+$D$5)^D9</f>
        <v>2.6268687173339251</v>
      </c>
      <c r="J9" s="29"/>
      <c r="K9" s="29"/>
      <c r="L9" s="30"/>
    </row>
    <row r="10" spans="1:12" x14ac:dyDescent="0.2">
      <c r="A10" s="31">
        <v>5</v>
      </c>
      <c r="B10" s="34">
        <v>254.71848</v>
      </c>
      <c r="C10" s="30">
        <v>33.335520000000002</v>
      </c>
      <c r="D10" s="30">
        <v>1.0214000000000001</v>
      </c>
      <c r="E10" s="29"/>
      <c r="F10" s="29"/>
      <c r="G10" s="9">
        <f t="shared" si="0"/>
        <v>3.0534046255038687</v>
      </c>
      <c r="H10" s="9">
        <f t="shared" si="1"/>
        <v>3.0534046255038687</v>
      </c>
      <c r="J10" s="29"/>
      <c r="K10" s="29"/>
      <c r="L10" s="30"/>
    </row>
    <row r="11" spans="1:12" x14ac:dyDescent="0.2">
      <c r="A11" s="31">
        <v>10</v>
      </c>
      <c r="B11" s="34">
        <v>264.71357</v>
      </c>
      <c r="C11" s="30">
        <v>31.821919999999999</v>
      </c>
      <c r="D11" s="30">
        <v>1.0117499999999999</v>
      </c>
      <c r="E11" s="29"/>
      <c r="F11" s="29"/>
      <c r="G11" s="35">
        <f t="shared" si="0"/>
        <v>3.3766570092245156</v>
      </c>
      <c r="H11" s="118">
        <f t="shared" si="1"/>
        <v>3.3766570092245156</v>
      </c>
      <c r="J11" s="29"/>
      <c r="K11" s="29"/>
      <c r="L11" s="30"/>
    </row>
    <row r="12" spans="1:12" x14ac:dyDescent="0.2">
      <c r="A12" s="31">
        <v>25</v>
      </c>
      <c r="B12" s="34">
        <v>276.98802000000001</v>
      </c>
      <c r="C12" s="30">
        <v>30.00177</v>
      </c>
      <c r="D12" s="30">
        <v>1.0000100000000001</v>
      </c>
      <c r="E12" s="29"/>
      <c r="F12" s="29"/>
      <c r="G12" s="9">
        <f t="shared" si="0"/>
        <v>3.8097056781265053</v>
      </c>
      <c r="H12" s="9">
        <f t="shared" si="1"/>
        <v>3.8097056781265053</v>
      </c>
      <c r="J12" s="29"/>
      <c r="K12" s="29"/>
      <c r="L12" s="30"/>
    </row>
    <row r="13" spans="1:12" x14ac:dyDescent="0.2">
      <c r="A13" s="31">
        <v>50</v>
      </c>
      <c r="B13" s="34">
        <v>286.34575000000001</v>
      </c>
      <c r="C13" s="30">
        <v>28.615590000000001</v>
      </c>
      <c r="D13" s="30">
        <v>0.99107000000000001</v>
      </c>
      <c r="E13" s="29"/>
      <c r="F13" s="29"/>
      <c r="G13" s="9">
        <f t="shared" si="0"/>
        <v>4.1710863156175408</v>
      </c>
      <c r="H13" s="9">
        <f t="shared" si="1"/>
        <v>4.1710863156175408</v>
      </c>
    </row>
    <row r="14" spans="1:12" x14ac:dyDescent="0.2">
      <c r="A14" s="31">
        <v>100</v>
      </c>
      <c r="B14" s="34">
        <v>294.57238000000001</v>
      </c>
      <c r="C14" s="30">
        <v>27.372150000000001</v>
      </c>
      <c r="D14" s="30">
        <v>0.98314000000000001</v>
      </c>
      <c r="E14" s="29"/>
      <c r="F14" s="29"/>
      <c r="G14" s="9">
        <f t="shared" si="0"/>
        <v>4.5160256153693332</v>
      </c>
      <c r="H14" s="9">
        <f t="shared" si="1"/>
        <v>4.5160256153693332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91" zoomScaleNormal="100" zoomScaleSheetLayoutView="100" workbookViewId="0">
      <selection activeCell="B60" sqref="B60"/>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430</v>
      </c>
      <c r="B3" s="46"/>
      <c r="C3" s="46"/>
      <c r="D3" s="46"/>
      <c r="E3" s="46"/>
      <c r="F3" s="46"/>
      <c r="G3" s="46"/>
    </row>
    <row r="4" spans="1:10" ht="8.25" customHeight="1" x14ac:dyDescent="0.2"/>
    <row r="5" spans="1:10" ht="27.75" customHeight="1" x14ac:dyDescent="0.2">
      <c r="A5" s="216" t="s">
        <v>431</v>
      </c>
      <c r="B5" s="180"/>
      <c r="C5" s="180"/>
      <c r="D5" s="180"/>
      <c r="E5" s="180"/>
      <c r="F5" s="180"/>
      <c r="G5" s="180"/>
      <c r="H5" s="180"/>
      <c r="I5" s="180"/>
      <c r="J5" s="169"/>
    </row>
    <row r="6" spans="1:10" ht="28.5" customHeight="1" x14ac:dyDescent="0.2">
      <c r="A6" s="180"/>
      <c r="B6" s="180"/>
      <c r="C6" s="180"/>
      <c r="D6" s="180"/>
      <c r="E6" s="180"/>
      <c r="F6" s="180"/>
      <c r="G6" s="180"/>
      <c r="H6" s="180"/>
      <c r="I6" s="180"/>
      <c r="J6" s="170"/>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8.58</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3"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7" t="s">
        <v>6</v>
      </c>
      <c r="G15" s="177"/>
      <c r="H15" s="46"/>
      <c r="I15" s="46"/>
      <c r="J15" s="46"/>
    </row>
    <row r="16" spans="1:10" x14ac:dyDescent="0.2">
      <c r="A16" s="46"/>
      <c r="B16" s="46"/>
      <c r="C16" s="115">
        <v>1</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
      <c r="A17" s="46"/>
      <c r="B17" s="46"/>
      <c r="C17" s="115">
        <v>1</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9" t="s">
        <v>385</v>
      </c>
      <c r="G17" s="179"/>
      <c r="H17" s="46"/>
      <c r="I17" s="46"/>
      <c r="J17" s="46"/>
    </row>
    <row r="18" spans="1:10" x14ac:dyDescent="0.2">
      <c r="A18" s="46"/>
      <c r="B18" s="46"/>
      <c r="C18" s="115">
        <v>4.83</v>
      </c>
      <c r="D18" s="50" t="s">
        <v>3</v>
      </c>
      <c r="E18" s="48">
        <f>IF(ISBLANK(F18),0,IF($B$13='Runoff Coeficients (C)'!$I$8,VLOOKUP(F18,'Runoff Coeficients (C)'!$C$8:$F$40,2,FALSE),IF($B$13='Runoff Coeficients (C)'!$I$9,VLOOKUP(F18,'Runoff Coeficients (C)'!$C$8:$F$40,3,FALSE),IF($B$13='Runoff Coeficients (C)'!$I$10,VLOOKUP(F18,'Runoff Coeficients (C)'!$C$8:$F$40,4,FALSE),"UPDATE"))))</f>
        <v>0.3</v>
      </c>
      <c r="F18" s="179" t="s">
        <v>396</v>
      </c>
      <c r="G18" s="179"/>
      <c r="H18" s="46"/>
      <c r="I18" s="46"/>
      <c r="J18" s="46"/>
    </row>
    <row r="19" spans="1:10" x14ac:dyDescent="0.2">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9" t="s">
        <v>381</v>
      </c>
      <c r="G19" s="179"/>
      <c r="H19" s="46"/>
      <c r="I19" s="46"/>
      <c r="J19" s="46"/>
    </row>
    <row r="20" spans="1:10" x14ac:dyDescent="0.2">
      <c r="A20" s="46"/>
      <c r="B20" s="46"/>
      <c r="C20" s="115">
        <v>1.75</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9" t="s">
        <v>395</v>
      </c>
      <c r="G20" s="179"/>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0.33350815850815851</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2" t="s">
        <v>159</v>
      </c>
      <c r="B26" s="46"/>
      <c r="C26" s="46"/>
      <c r="D26" s="46"/>
      <c r="E26" s="46"/>
      <c r="F26" s="46"/>
      <c r="G26" s="46"/>
      <c r="H26" s="46"/>
      <c r="I26" s="46"/>
      <c r="J26" s="46"/>
    </row>
    <row r="27" spans="1:10" x14ac:dyDescent="0.2">
      <c r="A27" s="46"/>
      <c r="B27" s="46"/>
      <c r="C27" s="46" t="s">
        <v>8</v>
      </c>
      <c r="D27" s="46"/>
      <c r="E27" s="46"/>
      <c r="F27" s="53">
        <f>'tc-pre'!D48</f>
        <v>0.71168329751403836</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2.7152631631468864</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3.4402137278296196</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3.8887973788497288</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4.2378391925847412</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4.5767573078782027</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0.33350815850815851</v>
      </c>
      <c r="E43" s="48">
        <f>G33</f>
        <v>2.7152631631468864</v>
      </c>
      <c r="F43" s="48">
        <f>$E$10</f>
        <v>8.58</v>
      </c>
      <c r="G43" s="50" t="s">
        <v>22</v>
      </c>
      <c r="H43" s="48">
        <f>C43*D43*E43*F43</f>
        <v>7.7697255413448154</v>
      </c>
      <c r="I43" s="46" t="s">
        <v>33</v>
      </c>
    </row>
    <row r="44" spans="1:10" x14ac:dyDescent="0.2">
      <c r="A44" s="46"/>
      <c r="B44" s="50">
        <v>10</v>
      </c>
      <c r="C44" s="50">
        <v>1</v>
      </c>
      <c r="D44" s="48">
        <f>$H$23</f>
        <v>0.33350815850815851</v>
      </c>
      <c r="E44" s="48">
        <f>G34</f>
        <v>3.4402137278296196</v>
      </c>
      <c r="F44" s="48">
        <f>$E$10</f>
        <v>8.58</v>
      </c>
      <c r="G44" s="50" t="s">
        <v>22</v>
      </c>
      <c r="H44" s="48">
        <f>C44*D44*E44*F44</f>
        <v>9.8441715821844564</v>
      </c>
      <c r="I44" s="46" t="s">
        <v>33</v>
      </c>
    </row>
    <row r="45" spans="1:10" x14ac:dyDescent="0.2">
      <c r="A45" s="46"/>
      <c r="B45" s="50">
        <v>25</v>
      </c>
      <c r="C45" s="50">
        <v>1.1000000000000001</v>
      </c>
      <c r="D45" s="48">
        <f>$H$23</f>
        <v>0.33350815850815851</v>
      </c>
      <c r="E45" s="48">
        <f>G35</f>
        <v>3.8887973788497288</v>
      </c>
      <c r="F45" s="48">
        <f>$E$10</f>
        <v>8.58</v>
      </c>
      <c r="G45" s="50" t="s">
        <v>22</v>
      </c>
      <c r="H45" s="48">
        <f>C45*D45*E45*F45</f>
        <v>12.240573069536351</v>
      </c>
      <c r="I45" s="46" t="s">
        <v>33</v>
      </c>
    </row>
    <row r="46" spans="1:10" x14ac:dyDescent="0.2">
      <c r="A46" s="46"/>
      <c r="B46" s="50">
        <v>50</v>
      </c>
      <c r="C46" s="50">
        <v>1.2</v>
      </c>
      <c r="D46" s="48">
        <f>$H$23</f>
        <v>0.33350815850815851</v>
      </c>
      <c r="E46" s="48">
        <f>G36</f>
        <v>4.2378391925847412</v>
      </c>
      <c r="F46" s="48">
        <f>$E$10</f>
        <v>8.58</v>
      </c>
      <c r="G46" s="50" t="s">
        <v>22</v>
      </c>
      <c r="H46" s="48">
        <f>C46*D46*E46*F46</f>
        <v>14.551892219497484</v>
      </c>
      <c r="I46" s="46" t="s">
        <v>33</v>
      </c>
    </row>
    <row r="47" spans="1:10" x14ac:dyDescent="0.2">
      <c r="A47" s="46"/>
      <c r="B47" s="50">
        <v>100</v>
      </c>
      <c r="C47" s="50">
        <v>1.25</v>
      </c>
      <c r="D47" s="48">
        <f>$H$23</f>
        <v>0.33350815850815851</v>
      </c>
      <c r="E47" s="48">
        <f>G37</f>
        <v>4.5767573078782027</v>
      </c>
      <c r="F47" s="48">
        <f>$E$10</f>
        <v>8.58</v>
      </c>
      <c r="G47" s="50" t="s">
        <v>22</v>
      </c>
      <c r="H47" s="48">
        <f>C47*D47*E47*F47</f>
        <v>16.370488795616847</v>
      </c>
      <c r="I47" s="46" t="s">
        <v>33</v>
      </c>
    </row>
    <row r="48" spans="1:10" x14ac:dyDescent="0.2">
      <c r="A48" s="46"/>
      <c r="B48" s="46"/>
      <c r="C48" s="50"/>
      <c r="D48" s="50"/>
      <c r="E48" s="48"/>
      <c r="F48" s="48"/>
      <c r="G48" s="50"/>
      <c r="H48" s="50"/>
      <c r="I48" s="59"/>
      <c r="J48" s="46"/>
    </row>
    <row r="50" spans="1:10" s="44" customFormat="1" x14ac:dyDescent="0.2">
      <c r="A50" s="44" t="str">
        <f>A2</f>
        <v>Outfall #8 [Rt.] Sta.315+00 (Baskin Hills Road)</v>
      </c>
    </row>
    <row r="51" spans="1:10" x14ac:dyDescent="0.2">
      <c r="A51" s="45" t="str">
        <f>A3</f>
        <v>Outfall ditch to small pond off Baskin Hills Road</v>
      </c>
      <c r="B51" s="46"/>
      <c r="C51" s="46"/>
      <c r="D51" s="46"/>
      <c r="E51" s="46"/>
      <c r="F51" s="46"/>
      <c r="G51" s="46"/>
      <c r="H51" s="46"/>
      <c r="I51" s="46"/>
      <c r="J51" s="46"/>
    </row>
    <row r="53" spans="1:10" x14ac:dyDescent="0.2">
      <c r="A53" s="42" t="s">
        <v>23</v>
      </c>
    </row>
    <row r="54" spans="1:10" ht="27.75" customHeight="1" x14ac:dyDescent="0.2">
      <c r="A54" s="180" t="s">
        <v>426</v>
      </c>
      <c r="B54" s="180"/>
      <c r="C54" s="180"/>
      <c r="D54" s="180"/>
      <c r="E54" s="180"/>
      <c r="F54" s="180"/>
      <c r="G54" s="180"/>
      <c r="H54" s="180"/>
      <c r="I54" s="180"/>
      <c r="J54" s="169"/>
    </row>
    <row r="56" spans="1:10" x14ac:dyDescent="0.2">
      <c r="A56" s="44" t="s">
        <v>24</v>
      </c>
    </row>
    <row r="58" spans="1:10" ht="45.75" customHeight="1" x14ac:dyDescent="0.2">
      <c r="A58" s="180" t="s">
        <v>425</v>
      </c>
      <c r="B58" s="180"/>
      <c r="C58" s="180"/>
      <c r="D58" s="180"/>
      <c r="E58" s="180"/>
      <c r="F58" s="180"/>
      <c r="G58" s="180"/>
      <c r="H58" s="180"/>
      <c r="I58" s="180"/>
      <c r="J58" s="169"/>
    </row>
    <row r="60" spans="1:10" x14ac:dyDescent="0.2">
      <c r="C60" s="43" t="s">
        <v>25</v>
      </c>
      <c r="G60" s="116">
        <v>8.58</v>
      </c>
      <c r="H60" s="43" t="s">
        <v>26</v>
      </c>
    </row>
    <row r="62" spans="1:10" x14ac:dyDescent="0.2">
      <c r="C62" s="43" t="s">
        <v>34</v>
      </c>
      <c r="G62" s="123">
        <f>C68-C16</f>
        <v>0.3600000000000001</v>
      </c>
      <c r="H62" s="43" t="s">
        <v>26</v>
      </c>
    </row>
    <row r="63" spans="1:10" x14ac:dyDescent="0.2">
      <c r="G63" s="60"/>
    </row>
    <row r="64" spans="1:10" x14ac:dyDescent="0.2">
      <c r="A64" s="61" t="s">
        <v>4</v>
      </c>
      <c r="B64" s="61"/>
      <c r="C64" s="61"/>
      <c r="D64" s="61"/>
    </row>
    <row r="65" spans="1:8" x14ac:dyDescent="0.2">
      <c r="A65" s="163" t="s">
        <v>402</v>
      </c>
      <c r="B65" s="178" t="s">
        <v>407</v>
      </c>
      <c r="C65" s="178"/>
    </row>
    <row r="67" spans="1:8" x14ac:dyDescent="0.2">
      <c r="C67" s="62" t="s">
        <v>2</v>
      </c>
      <c r="D67" s="62"/>
      <c r="E67" s="62" t="s">
        <v>5</v>
      </c>
      <c r="F67" s="176" t="s">
        <v>6</v>
      </c>
      <c r="G67" s="176"/>
    </row>
    <row r="68" spans="1:8" x14ac:dyDescent="0.2">
      <c r="C68" s="115">
        <v>1.36</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
      <c r="C69" s="115">
        <v>0.64</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9" t="s">
        <v>385</v>
      </c>
      <c r="G69" s="179"/>
    </row>
    <row r="70" spans="1:8" ht="12.75" customHeight="1" x14ac:dyDescent="0.2">
      <c r="C70" s="115">
        <v>4.83</v>
      </c>
      <c r="D70" s="50" t="s">
        <v>3</v>
      </c>
      <c r="E70" s="48">
        <f>IF(ISBLANK(F70),0,IF($B$65='Runoff Coeficients (C)'!$I$8,VLOOKUP(F70,'Runoff Coeficients (C)'!$C$8:$F$40,2,FALSE),IF($B$65='Runoff Coeficients (C)'!$I$9,VLOOKUP(F70,'Runoff Coeficients (C)'!$C$8:$F$40,3,FALSE),IF($B$65='Runoff Coeficients (C)'!$I$10,VLOOKUP(F70,'Runoff Coeficients (C)'!$C$8:$F$40,4,FALSE),"UPDATE"))))</f>
        <v>0.3</v>
      </c>
      <c r="F70" s="179" t="s">
        <v>396</v>
      </c>
      <c r="G70" s="179"/>
    </row>
    <row r="71" spans="1:8" ht="12.75" customHeight="1" x14ac:dyDescent="0.2">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9" t="s">
        <v>381</v>
      </c>
      <c r="G71" s="179"/>
    </row>
    <row r="72" spans="1:8" x14ac:dyDescent="0.2">
      <c r="C72" s="115">
        <v>1.75</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9" t="s">
        <v>395</v>
      </c>
      <c r="G72" s="179"/>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
      <c r="F74" s="50"/>
      <c r="G74" s="50"/>
    </row>
    <row r="75" spans="1:8" ht="12" customHeight="1" x14ac:dyDescent="0.2">
      <c r="F75" s="43" t="s">
        <v>7</v>
      </c>
      <c r="H75" s="52">
        <f>((C68*E68)+(C69*E69)+(C73*E73)+(C72*E72)+(C70*E70)+(C71*E71))/G60</f>
        <v>0.3607808857808858</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0.71168329751403836</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2.7152631631468864</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3.4402137278296196</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3.8887973788497288</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4.2378391925847412</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4.5767573078782027</v>
      </c>
    </row>
    <row r="91" spans="1:10" x14ac:dyDescent="0.2">
      <c r="G91" s="66"/>
    </row>
    <row r="93" spans="1:10" s="44" customFormat="1" x14ac:dyDescent="0.2">
      <c r="A93" s="44" t="str">
        <f>A2</f>
        <v>Outfall #8 [Rt.] Sta.315+00 (Baskin Hills Road)</v>
      </c>
    </row>
    <row r="94" spans="1:10" x14ac:dyDescent="0.2">
      <c r="A94" s="45" t="str">
        <f>A3</f>
        <v>Outfall ditch to small pond off Baskin Hills Road</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0.3607808857808858</v>
      </c>
      <c r="E103" s="69">
        <f>G86</f>
        <v>2.7152631631468864</v>
      </c>
      <c r="F103" s="68">
        <f>$G$60</f>
        <v>8.58</v>
      </c>
      <c r="G103" s="62" t="s">
        <v>22</v>
      </c>
      <c r="H103" s="68">
        <f>C103*D103*E103*F103</f>
        <v>8.4050971215211874</v>
      </c>
      <c r="I103" s="43" t="s">
        <v>33</v>
      </c>
    </row>
    <row r="104" spans="1:10" ht="12.75" customHeight="1" x14ac:dyDescent="0.2">
      <c r="B104" s="62">
        <v>10</v>
      </c>
      <c r="C104" s="62">
        <v>1</v>
      </c>
      <c r="D104" s="68">
        <f>$H$75</f>
        <v>0.3607808857808858</v>
      </c>
      <c r="E104" s="69">
        <f>G87</f>
        <v>3.4402137278296196</v>
      </c>
      <c r="F104" s="68">
        <f>$G$60</f>
        <v>8.58</v>
      </c>
      <c r="G104" s="62" t="s">
        <v>22</v>
      </c>
      <c r="H104" s="68">
        <f>C104*D104*E104*F104</f>
        <v>10.649181594496588</v>
      </c>
      <c r="I104" s="43" t="s">
        <v>33</v>
      </c>
    </row>
    <row r="105" spans="1:10" ht="12.75" customHeight="1" x14ac:dyDescent="0.2">
      <c r="B105" s="62">
        <v>25</v>
      </c>
      <c r="C105" s="62">
        <v>1.1000000000000001</v>
      </c>
      <c r="D105" s="68">
        <f>$H$75</f>
        <v>0.3607808857808858</v>
      </c>
      <c r="E105" s="69">
        <f>G88</f>
        <v>3.8887973788497288</v>
      </c>
      <c r="F105" s="68">
        <f>$G$60</f>
        <v>8.58</v>
      </c>
      <c r="G105" s="62" t="s">
        <v>22</v>
      </c>
      <c r="H105" s="68">
        <f>C105*D105*E105*F105</f>
        <v>13.241549514852268</v>
      </c>
      <c r="I105" s="43" t="s">
        <v>33</v>
      </c>
    </row>
    <row r="106" spans="1:10" ht="12.75" customHeight="1" x14ac:dyDescent="0.2">
      <c r="B106" s="62">
        <v>50</v>
      </c>
      <c r="C106" s="62">
        <v>1.2</v>
      </c>
      <c r="D106" s="68">
        <f>$H$75</f>
        <v>0.3607808857808858</v>
      </c>
      <c r="E106" s="69">
        <f>G89</f>
        <v>4.2378391925847412</v>
      </c>
      <c r="F106" s="68">
        <f>$G$60</f>
        <v>8.58</v>
      </c>
      <c r="G106" s="62" t="s">
        <v>22</v>
      </c>
      <c r="H106" s="68">
        <f>C106*D106*E106*F106</f>
        <v>15.741877464775282</v>
      </c>
      <c r="I106" s="43" t="s">
        <v>33</v>
      </c>
    </row>
    <row r="107" spans="1:10" ht="12.75" customHeight="1" x14ac:dyDescent="0.2">
      <c r="B107" s="62">
        <v>100</v>
      </c>
      <c r="C107" s="62">
        <v>1.25</v>
      </c>
      <c r="D107" s="68">
        <f>$H$75</f>
        <v>0.3607808857808858</v>
      </c>
      <c r="E107" s="69">
        <f>G90</f>
        <v>4.5767573078782027</v>
      </c>
      <c r="F107" s="68">
        <f>$G$60</f>
        <v>8.58</v>
      </c>
      <c r="G107" s="62" t="s">
        <v>22</v>
      </c>
      <c r="H107" s="68">
        <f>C107*D107*E107*F107</f>
        <v>17.70919030817122</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7.7697255413448154</v>
      </c>
      <c r="E112" s="48">
        <f>H103</f>
        <v>8.4050971215211874</v>
      </c>
      <c r="F112" s="48">
        <f>E112-D112</f>
        <v>0.63537158017637196</v>
      </c>
      <c r="G112" s="71">
        <f>F112/D112</f>
        <v>8.177529267866511E-2</v>
      </c>
      <c r="H112" s="46"/>
      <c r="I112" s="46"/>
      <c r="J112" s="46"/>
    </row>
    <row r="113" spans="1:10" x14ac:dyDescent="0.2">
      <c r="A113" s="46"/>
      <c r="B113" s="46"/>
      <c r="C113" s="50">
        <v>10</v>
      </c>
      <c r="D113" s="48">
        <f>H44</f>
        <v>9.8441715821844564</v>
      </c>
      <c r="E113" s="48">
        <f>H104</f>
        <v>10.649181594496588</v>
      </c>
      <c r="F113" s="48">
        <f>E113-D113</f>
        <v>0.8050100123121311</v>
      </c>
      <c r="G113" s="71">
        <f>F113/D113</f>
        <v>8.1775292678665054E-2</v>
      </c>
      <c r="H113" s="46"/>
      <c r="I113" s="46"/>
      <c r="J113" s="46"/>
    </row>
    <row r="114" spans="1:10" x14ac:dyDescent="0.2">
      <c r="A114" s="46"/>
      <c r="B114" s="46"/>
      <c r="C114" s="46"/>
      <c r="D114" s="46"/>
      <c r="E114" s="46"/>
      <c r="F114" s="46"/>
      <c r="G114" s="46"/>
      <c r="H114" s="46"/>
      <c r="I114" s="46"/>
      <c r="J114" s="46"/>
    </row>
    <row r="115" spans="1:10" ht="57.75" customHeight="1" x14ac:dyDescent="0.2">
      <c r="A115" s="180" t="s">
        <v>429</v>
      </c>
      <c r="B115" s="180"/>
      <c r="C115" s="180"/>
      <c r="D115" s="180"/>
      <c r="E115" s="180"/>
      <c r="F115" s="180"/>
      <c r="G115" s="180"/>
      <c r="H115" s="180"/>
      <c r="I115" s="180"/>
      <c r="J115" s="169"/>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173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2.5599370530029506</v>
      </c>
      <c r="H9" s="9">
        <f t="shared" ref="H9:H14" si="1">B9/(C9+$D$5)^D9</f>
        <v>2.5599370530029506</v>
      </c>
      <c r="J9" s="29"/>
      <c r="K9" s="29"/>
      <c r="L9" s="30"/>
    </row>
    <row r="10" spans="1:12" x14ac:dyDescent="0.2">
      <c r="A10" s="31">
        <v>5</v>
      </c>
      <c r="B10" s="34">
        <v>253.32925</v>
      </c>
      <c r="C10" s="30">
        <v>33.549219999999998</v>
      </c>
      <c r="D10" s="30">
        <v>1.02275</v>
      </c>
      <c r="E10" s="29"/>
      <c r="F10" s="29"/>
      <c r="G10" s="9">
        <f t="shared" si="0"/>
        <v>3.0103934735206406</v>
      </c>
      <c r="H10" s="9">
        <f t="shared" si="1"/>
        <v>3.0103934735206406</v>
      </c>
      <c r="J10" s="29"/>
      <c r="K10" s="29"/>
      <c r="L10" s="30"/>
    </row>
    <row r="11" spans="1:12" x14ac:dyDescent="0.2">
      <c r="A11" s="31">
        <v>10</v>
      </c>
      <c r="B11" s="34">
        <v>262.87425000000002</v>
      </c>
      <c r="C11" s="30">
        <v>32.097470000000001</v>
      </c>
      <c r="D11" s="30">
        <v>1.01352</v>
      </c>
      <c r="E11" s="29"/>
      <c r="F11" s="29"/>
      <c r="G11" s="35">
        <f t="shared" si="0"/>
        <v>3.3152807756578304</v>
      </c>
      <c r="H11" s="118">
        <f t="shared" si="1"/>
        <v>3.3152807756578304</v>
      </c>
      <c r="J11" s="29"/>
      <c r="K11" s="29"/>
      <c r="L11" s="30"/>
    </row>
    <row r="12" spans="1:12" x14ac:dyDescent="0.2">
      <c r="A12" s="31">
        <v>25</v>
      </c>
      <c r="B12" s="34">
        <v>276.43448999999998</v>
      </c>
      <c r="C12" s="30">
        <v>30.083480000000002</v>
      </c>
      <c r="D12" s="30">
        <v>1.00054</v>
      </c>
      <c r="E12" s="29"/>
      <c r="F12" s="29"/>
      <c r="G12" s="9">
        <f t="shared" si="0"/>
        <v>3.7892037301353922</v>
      </c>
      <c r="H12" s="9">
        <f t="shared" si="1"/>
        <v>3.7892037301353922</v>
      </c>
      <c r="J12" s="29"/>
      <c r="K12" s="29"/>
      <c r="L12" s="30"/>
    </row>
    <row r="13" spans="1:12" x14ac:dyDescent="0.2">
      <c r="A13" s="31">
        <v>50</v>
      </c>
      <c r="B13" s="34">
        <v>285.47241000000002</v>
      </c>
      <c r="C13" s="30">
        <v>28.74568</v>
      </c>
      <c r="D13" s="30">
        <v>0.9919</v>
      </c>
      <c r="E13" s="29"/>
      <c r="F13" s="29"/>
      <c r="G13" s="9">
        <f t="shared" si="0"/>
        <v>4.136179295286226</v>
      </c>
      <c r="H13" s="9">
        <f t="shared" si="1"/>
        <v>4.136179295286226</v>
      </c>
    </row>
    <row r="14" spans="1:12" x14ac:dyDescent="0.2">
      <c r="A14" s="31">
        <v>100</v>
      </c>
      <c r="B14" s="34">
        <v>293.96606000000003</v>
      </c>
      <c r="C14" s="30">
        <v>27.46491</v>
      </c>
      <c r="D14" s="30">
        <v>0.98372999999999999</v>
      </c>
      <c r="E14" s="29"/>
      <c r="F14" s="29"/>
      <c r="G14" s="9">
        <f t="shared" si="0"/>
        <v>4.4895986142424213</v>
      </c>
      <c r="H14" s="9">
        <f t="shared" si="1"/>
        <v>4.4895986142424213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3.105687968484264</v>
      </c>
      <c r="H9" s="9">
        <f t="shared" ref="H9:H14" si="1">B9/(C9+$D$5)^D9</f>
        <v>3.105687968484264</v>
      </c>
      <c r="J9" s="29"/>
      <c r="K9" s="29"/>
      <c r="L9" s="30"/>
    </row>
    <row r="10" spans="1:12" x14ac:dyDescent="0.2">
      <c r="A10" s="31">
        <v>5</v>
      </c>
      <c r="B10" s="34">
        <v>269.50522000000001</v>
      </c>
      <c r="C10" s="30">
        <v>31.108280000000001</v>
      </c>
      <c r="D10" s="30">
        <v>1.0071600000000001</v>
      </c>
      <c r="E10" s="29"/>
      <c r="F10" s="29"/>
      <c r="G10" s="9">
        <f t="shared" si="0"/>
        <v>3.5406300478702248</v>
      </c>
      <c r="H10" s="9">
        <f t="shared" si="1"/>
        <v>3.5406300478702248</v>
      </c>
      <c r="J10" s="29"/>
      <c r="K10" s="29"/>
      <c r="L10" s="30"/>
    </row>
    <row r="11" spans="1:12" x14ac:dyDescent="0.2">
      <c r="A11" s="31">
        <v>10</v>
      </c>
      <c r="B11" s="34">
        <v>277.79628000000002</v>
      </c>
      <c r="C11" s="30">
        <v>28.882449999999999</v>
      </c>
      <c r="D11" s="30">
        <v>0.99924000000000002</v>
      </c>
      <c r="E11" s="29"/>
      <c r="F11" s="29"/>
      <c r="G11" s="35">
        <f t="shared" si="0"/>
        <v>3.8933502115098246</v>
      </c>
      <c r="H11" s="118">
        <f t="shared" si="1"/>
        <v>3.8933502115098246</v>
      </c>
      <c r="J11" s="29"/>
      <c r="K11" s="29"/>
      <c r="L11" s="30"/>
    </row>
    <row r="12" spans="1:12" x14ac:dyDescent="0.2">
      <c r="A12" s="31">
        <v>25</v>
      </c>
      <c r="B12" s="34">
        <v>288.37076999999999</v>
      </c>
      <c r="C12" s="30">
        <v>28.31259</v>
      </c>
      <c r="D12" s="30">
        <v>0.98912</v>
      </c>
      <c r="E12" s="29"/>
      <c r="F12" s="29"/>
      <c r="G12" s="9">
        <f t="shared" si="0"/>
        <v>4.2535581742322854</v>
      </c>
      <c r="H12" s="9">
        <f t="shared" si="1"/>
        <v>4.2535581742322854</v>
      </c>
      <c r="J12" s="29"/>
      <c r="K12" s="29"/>
      <c r="L12" s="30"/>
    </row>
    <row r="13" spans="1:12" x14ac:dyDescent="0.2">
      <c r="A13" s="31">
        <v>50</v>
      </c>
      <c r="B13" s="34">
        <v>295.59257000000002</v>
      </c>
      <c r="C13" s="30">
        <v>27.21407</v>
      </c>
      <c r="D13" s="30">
        <v>0.98214999999999997</v>
      </c>
      <c r="E13" s="29"/>
      <c r="F13" s="29"/>
      <c r="G13" s="9">
        <f t="shared" si="0"/>
        <v>4.5608765626074224</v>
      </c>
      <c r="H13" s="9">
        <f t="shared" si="1"/>
        <v>4.5608765626074224</v>
      </c>
    </row>
    <row r="14" spans="1:12" x14ac:dyDescent="0.2">
      <c r="A14" s="31">
        <v>100</v>
      </c>
      <c r="B14" s="34">
        <v>302.0052</v>
      </c>
      <c r="C14" s="30">
        <v>26.200060000000001</v>
      </c>
      <c r="D14" s="30">
        <v>0.97585999999999995</v>
      </c>
      <c r="E14" s="29"/>
      <c r="F14" s="29"/>
      <c r="G14" s="9">
        <f t="shared" si="0"/>
        <v>4.8547101334399771</v>
      </c>
      <c r="H14" s="9">
        <f t="shared" si="1"/>
        <v>4.8547101334399771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2.7802091984188952</v>
      </c>
      <c r="H9" s="9">
        <f t="shared" ref="H9:H14" si="1">B9/(C9+$D$5)^D9</f>
        <v>2.7802091984188952</v>
      </c>
      <c r="J9" s="29"/>
      <c r="K9" s="29"/>
      <c r="L9" s="30"/>
    </row>
    <row r="10" spans="1:12" x14ac:dyDescent="0.2">
      <c r="A10" s="31">
        <v>5</v>
      </c>
      <c r="B10" s="34">
        <v>258.82004999999998</v>
      </c>
      <c r="C10" s="30">
        <v>32.709200000000003</v>
      </c>
      <c r="D10" s="30">
        <v>1.01742</v>
      </c>
      <c r="E10" s="29"/>
      <c r="F10" s="29"/>
      <c r="G10" s="9">
        <f t="shared" si="0"/>
        <v>3.1831932450693707</v>
      </c>
      <c r="H10" s="9">
        <f t="shared" si="1"/>
        <v>3.1831932450693707</v>
      </c>
      <c r="J10" s="29"/>
      <c r="K10" s="29"/>
      <c r="L10" s="30"/>
    </row>
    <row r="11" spans="1:12" x14ac:dyDescent="0.2">
      <c r="A11" s="31">
        <v>10</v>
      </c>
      <c r="B11" s="34">
        <v>268.10935999999998</v>
      </c>
      <c r="C11" s="30">
        <v>31.315519999999999</v>
      </c>
      <c r="D11" s="30">
        <v>1.0085</v>
      </c>
      <c r="E11" s="29"/>
      <c r="F11" s="29"/>
      <c r="G11" s="35">
        <f t="shared" si="0"/>
        <v>3.4921591903032221</v>
      </c>
      <c r="H11" s="118">
        <f t="shared" si="1"/>
        <v>3.4921591903032221</v>
      </c>
      <c r="J11" s="29"/>
      <c r="K11" s="29"/>
      <c r="L11" s="30"/>
    </row>
    <row r="12" spans="1:12" x14ac:dyDescent="0.2">
      <c r="A12" s="31">
        <v>25</v>
      </c>
      <c r="B12" s="34">
        <v>280.32646</v>
      </c>
      <c r="C12" s="30">
        <v>29.508700000000001</v>
      </c>
      <c r="D12" s="30">
        <v>0.99682000000000004</v>
      </c>
      <c r="E12" s="29"/>
      <c r="F12" s="29"/>
      <c r="G12" s="9">
        <f t="shared" si="0"/>
        <v>3.9353095432663272</v>
      </c>
      <c r="H12" s="9">
        <f t="shared" si="1"/>
        <v>3.9353095432663272</v>
      </c>
      <c r="J12" s="29"/>
      <c r="K12" s="29"/>
      <c r="L12" s="30"/>
    </row>
    <row r="13" spans="1:12" x14ac:dyDescent="0.2">
      <c r="A13" s="31">
        <v>50</v>
      </c>
      <c r="B13" s="34">
        <v>288.72570999999999</v>
      </c>
      <c r="C13" s="30">
        <v>28.259239999999998</v>
      </c>
      <c r="D13" s="30">
        <v>0.98877999999999999</v>
      </c>
      <c r="E13" s="29"/>
      <c r="F13" s="29"/>
      <c r="G13" s="9">
        <f t="shared" si="0"/>
        <v>4.2681412589279448</v>
      </c>
      <c r="H13" s="9">
        <f t="shared" si="1"/>
        <v>4.2681412589279448</v>
      </c>
    </row>
    <row r="14" spans="1:12" x14ac:dyDescent="0.2">
      <c r="A14" s="31">
        <v>100</v>
      </c>
      <c r="B14" s="34">
        <v>296.68747999999999</v>
      </c>
      <c r="C14" s="30">
        <v>27.044270000000001</v>
      </c>
      <c r="D14" s="30">
        <v>0.98107999999999995</v>
      </c>
      <c r="E14" s="29"/>
      <c r="F14" s="29"/>
      <c r="G14" s="9">
        <f t="shared" si="0"/>
        <v>4.6096056399611056</v>
      </c>
      <c r="H14" s="9">
        <f t="shared" si="1"/>
        <v>4.6096056399611056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2.6092048879502245</v>
      </c>
      <c r="H9" s="9">
        <f t="shared" ref="H9:H14" si="1">B9/(C9+$D$5)^D9</f>
        <v>2.6092048879502245</v>
      </c>
      <c r="J9" s="29"/>
      <c r="K9" s="29"/>
      <c r="L9" s="30"/>
    </row>
    <row r="10" spans="1:12" x14ac:dyDescent="0.2">
      <c r="A10" s="31">
        <v>5</v>
      </c>
      <c r="B10" s="34">
        <v>254.10798</v>
      </c>
      <c r="C10" s="30">
        <v>33.429119999999998</v>
      </c>
      <c r="D10" s="30">
        <v>1.02199</v>
      </c>
      <c r="E10" s="29"/>
      <c r="F10" s="29"/>
      <c r="G10" s="9">
        <f t="shared" si="0"/>
        <v>3.0344946369084145</v>
      </c>
      <c r="H10" s="9">
        <f t="shared" si="1"/>
        <v>3.0344946369084145</v>
      </c>
      <c r="J10" s="29"/>
      <c r="K10" s="29"/>
      <c r="L10" s="30"/>
    </row>
    <row r="11" spans="1:12" x14ac:dyDescent="0.2">
      <c r="A11" s="31">
        <v>10</v>
      </c>
      <c r="B11" s="34">
        <v>264.19040000000001</v>
      </c>
      <c r="C11" s="30">
        <v>31.900130000000001</v>
      </c>
      <c r="D11" s="30">
        <v>1.0122500000000001</v>
      </c>
      <c r="E11" s="29"/>
      <c r="F11" s="29"/>
      <c r="G11" s="35">
        <f t="shared" si="0"/>
        <v>3.3591585906459214</v>
      </c>
      <c r="H11" s="118">
        <f t="shared" si="1"/>
        <v>3.3591585906459214</v>
      </c>
      <c r="J11" s="29"/>
      <c r="K11" s="29"/>
      <c r="L11" s="30"/>
    </row>
    <row r="12" spans="1:12" x14ac:dyDescent="0.2">
      <c r="A12" s="31">
        <v>25</v>
      </c>
      <c r="B12" s="34">
        <v>277.46460000000002</v>
      </c>
      <c r="C12" s="30">
        <v>29.93141</v>
      </c>
      <c r="D12" s="30">
        <v>0.99956</v>
      </c>
      <c r="E12" s="29"/>
      <c r="F12" s="29"/>
      <c r="G12" s="9">
        <f t="shared" si="0"/>
        <v>3.8273311287070242</v>
      </c>
      <c r="H12" s="9">
        <f t="shared" si="1"/>
        <v>3.8273311287070242</v>
      </c>
      <c r="J12" s="29"/>
      <c r="K12" s="29"/>
      <c r="L12" s="30"/>
    </row>
    <row r="13" spans="1:12" x14ac:dyDescent="0.2">
      <c r="A13" s="31">
        <v>50</v>
      </c>
      <c r="B13" s="34">
        <v>286.11426999999998</v>
      </c>
      <c r="C13" s="30">
        <v>28.650040000000001</v>
      </c>
      <c r="D13" s="30">
        <v>0.99129</v>
      </c>
      <c r="E13" s="29"/>
      <c r="F13" s="29"/>
      <c r="G13" s="9">
        <f t="shared" si="0"/>
        <v>4.1618108760920043</v>
      </c>
      <c r="H13" s="9">
        <f t="shared" si="1"/>
        <v>4.1618108760920043</v>
      </c>
    </row>
    <row r="14" spans="1:12" x14ac:dyDescent="0.2">
      <c r="A14" s="31">
        <v>100</v>
      </c>
      <c r="B14" s="34">
        <v>294.58067999999997</v>
      </c>
      <c r="C14" s="30">
        <v>27.370539999999998</v>
      </c>
      <c r="D14" s="30">
        <v>0.98312999999999995</v>
      </c>
      <c r="E14" s="29"/>
      <c r="F14" s="29"/>
      <c r="G14" s="9">
        <f t="shared" si="0"/>
        <v>4.5164467999266211</v>
      </c>
      <c r="H14" s="9">
        <f t="shared" si="1"/>
        <v>4.5164467999266211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2.5459878800026332</v>
      </c>
      <c r="H9" s="9">
        <f t="shared" ref="H9:H14" si="1">B9/(C9+$D$5)^D9</f>
        <v>2.5459878800026332</v>
      </c>
      <c r="J9" s="29"/>
      <c r="K9" s="29"/>
      <c r="L9" s="30"/>
    </row>
    <row r="10" spans="1:12" x14ac:dyDescent="0.2">
      <c r="A10" s="31">
        <v>5</v>
      </c>
      <c r="B10" s="34">
        <v>253.41210000000001</v>
      </c>
      <c r="C10" s="30">
        <v>33.536160000000002</v>
      </c>
      <c r="D10" s="30">
        <v>1.0226599999999999</v>
      </c>
      <c r="E10" s="29"/>
      <c r="F10" s="29"/>
      <c r="G10" s="9">
        <f t="shared" si="0"/>
        <v>3.0130806278640496</v>
      </c>
      <c r="H10" s="9">
        <f t="shared" si="1"/>
        <v>3.0130806278640496</v>
      </c>
      <c r="J10" s="29"/>
      <c r="K10" s="29"/>
      <c r="L10" s="30"/>
    </row>
    <row r="11" spans="1:12" x14ac:dyDescent="0.2">
      <c r="A11" s="31">
        <v>10</v>
      </c>
      <c r="B11" s="34">
        <v>263.81267000000003</v>
      </c>
      <c r="C11" s="30">
        <v>31.956610000000001</v>
      </c>
      <c r="D11" s="30">
        <v>1.0126200000000001</v>
      </c>
      <c r="E11" s="29"/>
      <c r="F11" s="29"/>
      <c r="G11" s="35">
        <f t="shared" si="0"/>
        <v>3.3464426317222986</v>
      </c>
      <c r="H11" s="118">
        <f t="shared" si="1"/>
        <v>3.3464426317222986</v>
      </c>
      <c r="J11" s="29"/>
      <c r="K11" s="29"/>
      <c r="L11" s="30"/>
    </row>
    <row r="12" spans="1:12" x14ac:dyDescent="0.2">
      <c r="A12" s="31">
        <v>25</v>
      </c>
      <c r="B12" s="34">
        <v>277.26485000000002</v>
      </c>
      <c r="C12" s="30">
        <v>29.960899999999999</v>
      </c>
      <c r="D12" s="30">
        <v>0.99975000000000003</v>
      </c>
      <c r="E12" s="29"/>
      <c r="F12" s="29"/>
      <c r="G12" s="9">
        <f t="shared" si="0"/>
        <v>3.8199124166927656</v>
      </c>
      <c r="H12" s="9">
        <f t="shared" si="1"/>
        <v>3.8199124166927656</v>
      </c>
      <c r="J12" s="29"/>
      <c r="K12" s="29"/>
      <c r="L12" s="30"/>
    </row>
    <row r="13" spans="1:12" x14ac:dyDescent="0.2">
      <c r="A13" s="31">
        <v>50</v>
      </c>
      <c r="B13" s="34">
        <v>286.66127999999998</v>
      </c>
      <c r="C13" s="30">
        <v>28.568349999999999</v>
      </c>
      <c r="D13" s="30">
        <v>0.99075999999999997</v>
      </c>
      <c r="E13" s="29"/>
      <c r="F13" s="29"/>
      <c r="G13" s="9">
        <f t="shared" si="0"/>
        <v>4.1839556530645323</v>
      </c>
      <c r="H13" s="9">
        <f t="shared" si="1"/>
        <v>4.1839556530645323</v>
      </c>
    </row>
    <row r="14" spans="1:12" x14ac:dyDescent="0.2">
      <c r="A14" s="31">
        <v>100</v>
      </c>
      <c r="B14" s="34">
        <v>295.16735</v>
      </c>
      <c r="C14" s="30">
        <v>27.279720000000001</v>
      </c>
      <c r="D14" s="30">
        <v>0.98255999999999999</v>
      </c>
      <c r="E14" s="29"/>
      <c r="F14" s="29"/>
      <c r="G14" s="9">
        <f t="shared" si="0"/>
        <v>4.5422009764322953</v>
      </c>
      <c r="H14" s="9">
        <f t="shared" si="1"/>
        <v>4.5422009764322953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7" t="s">
        <v>116</v>
      </c>
      <c r="B4" s="207"/>
      <c r="C4" s="207"/>
      <c r="D4" s="207"/>
      <c r="E4" s="207"/>
      <c r="K4" t="s">
        <v>133</v>
      </c>
    </row>
    <row r="5" spans="1:11" x14ac:dyDescent="0.2">
      <c r="A5" s="207"/>
      <c r="B5" s="207"/>
      <c r="C5" s="207"/>
      <c r="D5" s="207"/>
      <c r="E5" s="207"/>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4" t="s">
        <v>172</v>
      </c>
      <c r="C2" s="204"/>
      <c r="D2" s="204"/>
      <c r="E2" s="204"/>
      <c r="F2" s="204"/>
      <c r="G2" s="204"/>
      <c r="H2" s="204"/>
      <c r="I2" s="204"/>
      <c r="J2" s="204"/>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7" t="s">
        <v>227</v>
      </c>
      <c r="D3" s="207"/>
      <c r="E3" s="207"/>
      <c r="F3" s="207"/>
    </row>
    <row r="4" spans="1:6" x14ac:dyDescent="0.2">
      <c r="C4" s="37" t="s">
        <v>223</v>
      </c>
      <c r="D4" s="37" t="s">
        <v>224</v>
      </c>
      <c r="E4" s="37" t="s">
        <v>225</v>
      </c>
      <c r="F4" s="37" t="s">
        <v>226</v>
      </c>
    </row>
    <row r="5" spans="1:6" x14ac:dyDescent="0.2">
      <c r="A5" s="145"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5"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5" t="s">
        <v>238</v>
      </c>
    </row>
    <row r="15" spans="1:6" x14ac:dyDescent="0.2">
      <c r="A15" t="s">
        <v>239</v>
      </c>
      <c r="B15" t="s">
        <v>264</v>
      </c>
      <c r="C15" s="37">
        <v>63</v>
      </c>
      <c r="D15" s="37">
        <v>77</v>
      </c>
      <c r="E15" s="37">
        <v>85</v>
      </c>
      <c r="F15" s="37">
        <v>88</v>
      </c>
    </row>
    <row r="16" spans="1:6" ht="12.75" customHeight="1" x14ac:dyDescent="0.2">
      <c r="A16" t="s">
        <v>240</v>
      </c>
      <c r="B16" s="144" t="s">
        <v>265</v>
      </c>
      <c r="C16" s="37">
        <v>96</v>
      </c>
      <c r="D16" s="37">
        <v>96</v>
      </c>
      <c r="E16" s="37">
        <v>96</v>
      </c>
      <c r="F16" s="37">
        <v>96</v>
      </c>
    </row>
    <row r="17" spans="1:6" x14ac:dyDescent="0.2">
      <c r="A17" s="145"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5"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5" t="s">
        <v>259</v>
      </c>
    </row>
    <row r="28" spans="1:6" x14ac:dyDescent="0.2">
      <c r="A28" t="s">
        <v>260</v>
      </c>
      <c r="B28" t="s">
        <v>261</v>
      </c>
      <c r="C28" s="37">
        <v>77</v>
      </c>
      <c r="D28" s="37">
        <v>86</v>
      </c>
      <c r="E28" s="37">
        <v>91</v>
      </c>
      <c r="F28" s="37">
        <v>94</v>
      </c>
    </row>
    <row r="29" spans="1:6" x14ac:dyDescent="0.2">
      <c r="A29" s="145"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5"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5"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08" t="s">
        <v>401</v>
      </c>
      <c r="D3" s="208"/>
      <c r="E3" s="208"/>
      <c r="F3" s="208"/>
      <c r="G3" s="146"/>
      <c r="H3" s="146"/>
      <c r="I3" s="146"/>
      <c r="J3" s="146"/>
      <c r="K3" s="146"/>
      <c r="L3" s="146"/>
    </row>
    <row r="4" spans="3:12" x14ac:dyDescent="0.2">
      <c r="C4" s="209" t="s">
        <v>368</v>
      </c>
      <c r="D4" s="210"/>
      <c r="E4" s="210"/>
      <c r="F4" s="211"/>
      <c r="G4" s="119"/>
      <c r="H4" s="119"/>
      <c r="I4" s="119"/>
      <c r="J4" s="119"/>
      <c r="K4" s="119"/>
      <c r="L4" s="119"/>
    </row>
    <row r="5" spans="3:12" x14ac:dyDescent="0.2">
      <c r="C5" s="212" t="s">
        <v>6</v>
      </c>
      <c r="D5" s="149" t="s">
        <v>369</v>
      </c>
      <c r="E5" s="149" t="s">
        <v>370</v>
      </c>
      <c r="F5" s="153" t="s">
        <v>371</v>
      </c>
    </row>
    <row r="6" spans="3:12" x14ac:dyDescent="0.2">
      <c r="C6" s="212"/>
      <c r="D6" s="149" t="s">
        <v>403</v>
      </c>
      <c r="E6" s="149" t="s">
        <v>404</v>
      </c>
      <c r="F6" s="153" t="s">
        <v>405</v>
      </c>
    </row>
    <row r="7" spans="3:12" ht="6.75" customHeight="1" x14ac:dyDescent="0.2">
      <c r="C7" s="154"/>
      <c r="D7" s="150"/>
      <c r="E7" s="150"/>
      <c r="F7" s="155"/>
    </row>
    <row r="8" spans="3:12" x14ac:dyDescent="0.2">
      <c r="C8" s="126" t="s">
        <v>372</v>
      </c>
      <c r="D8" s="151">
        <v>0.9</v>
      </c>
      <c r="E8" s="151">
        <v>0.9</v>
      </c>
      <c r="F8" s="156">
        <v>0.9</v>
      </c>
      <c r="I8" s="3" t="s">
        <v>406</v>
      </c>
    </row>
    <row r="9" spans="3:12" x14ac:dyDescent="0.2">
      <c r="C9" s="126" t="s">
        <v>373</v>
      </c>
      <c r="D9" s="151">
        <v>0.5</v>
      </c>
      <c r="E9" s="151">
        <v>0.5</v>
      </c>
      <c r="F9" s="156">
        <v>0.5</v>
      </c>
      <c r="I9" s="3" t="s">
        <v>407</v>
      </c>
    </row>
    <row r="10" spans="3:12" x14ac:dyDescent="0.2">
      <c r="C10" s="126" t="s">
        <v>374</v>
      </c>
      <c r="D10" s="151">
        <v>0.75</v>
      </c>
      <c r="E10" s="151">
        <v>0.8</v>
      </c>
      <c r="F10" s="156">
        <v>0.85</v>
      </c>
      <c r="I10" s="3" t="s">
        <v>408</v>
      </c>
    </row>
    <row r="11" spans="3:12" x14ac:dyDescent="0.2">
      <c r="C11" s="126" t="s">
        <v>375</v>
      </c>
      <c r="D11" s="151">
        <v>0.5</v>
      </c>
      <c r="E11" s="151">
        <v>0.55000000000000004</v>
      </c>
      <c r="F11" s="156">
        <v>0.6</v>
      </c>
    </row>
    <row r="12" spans="3:12" x14ac:dyDescent="0.2">
      <c r="C12" s="126" t="s">
        <v>376</v>
      </c>
      <c r="D12" s="151">
        <v>0.8</v>
      </c>
      <c r="E12" s="151">
        <v>0.85</v>
      </c>
      <c r="F12" s="156">
        <v>0.85</v>
      </c>
    </row>
    <row r="13" spans="3:12" x14ac:dyDescent="0.2">
      <c r="C13" s="126" t="s">
        <v>377</v>
      </c>
      <c r="D13" s="151">
        <v>0.34</v>
      </c>
      <c r="E13" s="151">
        <v>0.45</v>
      </c>
      <c r="F13" s="156">
        <v>0.59</v>
      </c>
    </row>
    <row r="14" spans="3:12" x14ac:dyDescent="0.2">
      <c r="C14" s="126" t="s">
        <v>378</v>
      </c>
      <c r="D14" s="151">
        <v>0.35</v>
      </c>
      <c r="E14" s="151">
        <v>0.47</v>
      </c>
      <c r="F14" s="156">
        <v>0.61</v>
      </c>
    </row>
    <row r="15" spans="3:12" x14ac:dyDescent="0.2">
      <c r="C15" s="126" t="s">
        <v>379</v>
      </c>
      <c r="D15" s="151">
        <v>0.4</v>
      </c>
      <c r="E15" s="151">
        <v>0.53</v>
      </c>
      <c r="F15" s="156">
        <v>0.69</v>
      </c>
    </row>
    <row r="16" spans="3:12" ht="6.75" customHeight="1" x14ac:dyDescent="0.2">
      <c r="C16" s="157"/>
      <c r="D16" s="152"/>
      <c r="E16" s="152"/>
      <c r="F16" s="158"/>
    </row>
    <row r="17" spans="3:6" x14ac:dyDescent="0.2">
      <c r="C17" s="126" t="s">
        <v>380</v>
      </c>
      <c r="D17" s="151">
        <v>0.5</v>
      </c>
      <c r="E17" s="151">
        <v>0.6</v>
      </c>
      <c r="F17" s="156">
        <v>0.7</v>
      </c>
    </row>
    <row r="18" spans="3:6" x14ac:dyDescent="0.2">
      <c r="C18" s="126" t="s">
        <v>381</v>
      </c>
      <c r="D18" s="151">
        <v>0.45</v>
      </c>
      <c r="E18" s="151">
        <v>0.5</v>
      </c>
      <c r="F18" s="156">
        <v>0.55000000000000004</v>
      </c>
    </row>
    <row r="19" spans="3:6" x14ac:dyDescent="0.2">
      <c r="C19" s="126" t="s">
        <v>382</v>
      </c>
      <c r="D19" s="151">
        <v>0.6</v>
      </c>
      <c r="E19" s="151">
        <v>0.65</v>
      </c>
      <c r="F19" s="156">
        <v>0.7</v>
      </c>
    </row>
    <row r="20" spans="3:6" x14ac:dyDescent="0.2">
      <c r="C20" s="126" t="s">
        <v>383</v>
      </c>
      <c r="D20" s="151">
        <v>0.1</v>
      </c>
      <c r="E20" s="151">
        <v>0.15</v>
      </c>
      <c r="F20" s="156">
        <v>0.2</v>
      </c>
    </row>
    <row r="21" spans="3:6" x14ac:dyDescent="0.2">
      <c r="C21" s="126" t="s">
        <v>384</v>
      </c>
      <c r="D21" s="151">
        <v>0.17</v>
      </c>
      <c r="E21" s="151">
        <v>0.22</v>
      </c>
      <c r="F21" s="156">
        <v>0.35</v>
      </c>
    </row>
    <row r="22" spans="3:6" ht="6.75" customHeight="1" x14ac:dyDescent="0.2">
      <c r="C22" s="157"/>
      <c r="D22" s="152"/>
      <c r="E22" s="152"/>
      <c r="F22" s="158"/>
    </row>
    <row r="23" spans="3:6" x14ac:dyDescent="0.2">
      <c r="C23" s="126" t="s">
        <v>385</v>
      </c>
      <c r="D23" s="151">
        <v>0.25</v>
      </c>
      <c r="E23" s="151">
        <v>0.25</v>
      </c>
      <c r="F23" s="156">
        <v>0.25</v>
      </c>
    </row>
    <row r="24" spans="3:6" x14ac:dyDescent="0.2">
      <c r="C24" s="126" t="s">
        <v>386</v>
      </c>
      <c r="D24" s="151">
        <v>0.6</v>
      </c>
      <c r="E24" s="151">
        <v>0.6</v>
      </c>
      <c r="F24" s="156">
        <v>0.6</v>
      </c>
    </row>
    <row r="25" spans="3:6" x14ac:dyDescent="0.2">
      <c r="C25" s="126" t="s">
        <v>387</v>
      </c>
      <c r="D25" s="151">
        <v>0.3</v>
      </c>
      <c r="E25" s="151">
        <v>0.3</v>
      </c>
      <c r="F25" s="156">
        <v>0.3</v>
      </c>
    </row>
    <row r="26" spans="3:6" x14ac:dyDescent="0.2">
      <c r="C26" s="126" t="s">
        <v>388</v>
      </c>
      <c r="D26" s="151">
        <v>0.25</v>
      </c>
      <c r="E26" s="151">
        <v>0.3</v>
      </c>
      <c r="F26" s="156">
        <v>0.3</v>
      </c>
    </row>
    <row r="27" spans="3:6" x14ac:dyDescent="0.2">
      <c r="C27" s="126" t="s">
        <v>389</v>
      </c>
      <c r="D27" s="151">
        <v>0.5</v>
      </c>
      <c r="E27" s="151">
        <v>0.55000000000000004</v>
      </c>
      <c r="F27" s="156">
        <v>0.6</v>
      </c>
    </row>
    <row r="28" spans="3:6" ht="6.75" customHeight="1" x14ac:dyDescent="0.2">
      <c r="C28" s="157"/>
      <c r="D28" s="152"/>
      <c r="E28" s="152"/>
      <c r="F28" s="158"/>
    </row>
    <row r="29" spans="3:6" x14ac:dyDescent="0.2">
      <c r="C29" s="126" t="s">
        <v>390</v>
      </c>
      <c r="D29" s="151">
        <v>0.25</v>
      </c>
      <c r="E29" s="151">
        <v>0.3</v>
      </c>
      <c r="F29" s="156">
        <v>0.35</v>
      </c>
    </row>
    <row r="30" spans="3:6" x14ac:dyDescent="0.2">
      <c r="C30" s="126" t="s">
        <v>391</v>
      </c>
      <c r="D30" s="151">
        <v>0.5</v>
      </c>
      <c r="E30" s="151">
        <v>0.7</v>
      </c>
      <c r="F30" s="156">
        <v>0.8</v>
      </c>
    </row>
    <row r="31" spans="3:6" x14ac:dyDescent="0.2">
      <c r="C31" s="126" t="s">
        <v>392</v>
      </c>
      <c r="D31" s="151">
        <v>0.6</v>
      </c>
      <c r="E31" s="151">
        <v>0.8</v>
      </c>
      <c r="F31" s="156">
        <v>0.9</v>
      </c>
    </row>
    <row r="32" spans="3:6" x14ac:dyDescent="0.2">
      <c r="C32" s="126" t="s">
        <v>393</v>
      </c>
      <c r="D32" s="151">
        <v>0.1</v>
      </c>
      <c r="E32" s="151">
        <v>0.15</v>
      </c>
      <c r="F32" s="156">
        <v>0.25</v>
      </c>
    </row>
    <row r="33" spans="3:6" x14ac:dyDescent="0.2">
      <c r="C33" s="126" t="s">
        <v>394</v>
      </c>
      <c r="D33" s="151">
        <v>0.2</v>
      </c>
      <c r="E33" s="151">
        <v>0.25</v>
      </c>
      <c r="F33" s="156">
        <v>0.3</v>
      </c>
    </row>
    <row r="34" spans="3:6" ht="6.75" customHeight="1" x14ac:dyDescent="0.2">
      <c r="C34" s="157"/>
      <c r="D34" s="152"/>
      <c r="E34" s="152"/>
      <c r="F34" s="158"/>
    </row>
    <row r="35" spans="3:6" x14ac:dyDescent="0.2">
      <c r="C35" s="126" t="s">
        <v>395</v>
      </c>
      <c r="D35" s="151">
        <v>0.1</v>
      </c>
      <c r="E35" s="151">
        <v>0.15</v>
      </c>
      <c r="F35" s="156">
        <v>0.2</v>
      </c>
    </row>
    <row r="36" spans="3:6" x14ac:dyDescent="0.2">
      <c r="C36" s="126" t="s">
        <v>396</v>
      </c>
      <c r="D36" s="151">
        <v>0.25</v>
      </c>
      <c r="E36" s="151">
        <v>0.3</v>
      </c>
      <c r="F36" s="156">
        <v>0.35</v>
      </c>
    </row>
    <row r="37" spans="3:6" x14ac:dyDescent="0.2">
      <c r="C37" s="126" t="s">
        <v>397</v>
      </c>
      <c r="D37" s="151">
        <v>0.1</v>
      </c>
      <c r="E37" s="151">
        <v>0.2</v>
      </c>
      <c r="F37" s="156">
        <v>0.3</v>
      </c>
    </row>
    <row r="38" spans="3:6" ht="6.75" customHeight="1" x14ac:dyDescent="0.2">
      <c r="C38" s="157"/>
      <c r="D38" s="152"/>
      <c r="E38" s="152"/>
      <c r="F38" s="158"/>
    </row>
    <row r="39" spans="3:6" x14ac:dyDescent="0.2">
      <c r="C39" s="126" t="s">
        <v>398</v>
      </c>
      <c r="D39" s="151">
        <v>0.25</v>
      </c>
      <c r="E39" s="151">
        <v>0.3</v>
      </c>
      <c r="F39" s="159" t="s">
        <v>360</v>
      </c>
    </row>
    <row r="40" spans="3:6" ht="13.5" thickBot="1" x14ac:dyDescent="0.25">
      <c r="C40" s="160" t="s">
        <v>399</v>
      </c>
      <c r="D40" s="161">
        <v>0.6</v>
      </c>
      <c r="E40" s="161">
        <v>0.7</v>
      </c>
      <c r="F40" s="162">
        <v>0.75</v>
      </c>
    </row>
    <row r="41" spans="3:6" ht="38.25" customHeight="1" thickBot="1" x14ac:dyDescent="0.25">
      <c r="C41" s="213" t="s">
        <v>400</v>
      </c>
      <c r="D41" s="214"/>
      <c r="E41" s="214"/>
      <c r="F41" s="215"/>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4">
        <v>1.0999999999999999E-2</v>
      </c>
    </row>
    <row r="6" spans="3:4" x14ac:dyDescent="0.2">
      <c r="C6" s="3" t="s">
        <v>410</v>
      </c>
      <c r="D6" s="164">
        <v>0.2</v>
      </c>
    </row>
    <row r="7" spans="3:4" x14ac:dyDescent="0.2">
      <c r="C7" s="3" t="s">
        <v>411</v>
      </c>
      <c r="D7" s="164">
        <v>0.4</v>
      </c>
    </row>
    <row r="8" spans="3:4" x14ac:dyDescent="0.2">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85"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419</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4" t="s">
        <v>420</v>
      </c>
      <c r="B6" s="194"/>
      <c r="C6" s="194"/>
      <c r="D6" s="194"/>
      <c r="E6" s="194"/>
      <c r="F6" s="194"/>
      <c r="G6" s="194"/>
      <c r="H6" s="194"/>
      <c r="I6" s="169"/>
      <c r="J6" s="169"/>
    </row>
    <row r="7" spans="1:35" ht="72.75" customHeight="1" x14ac:dyDescent="0.2">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7.52</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224</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1.1000000000000001</v>
      </c>
      <c r="C15" s="51" t="s">
        <v>3</v>
      </c>
      <c r="D15" s="79">
        <f>IF(ISBLANK(E15),0,IF($B$12='Curve Numbers'!$C$4,VLOOKUP(E15,'Curve Numbers'!$A$5:$F$93,3,FALSE),IF($B$12='Curve Numbers'!$D$4,VLOOKUP(E15,'Curve Numbers'!$A$5:$F$93,4,FALSE),IF($B$12='Curve Numbers'!$E$4,VLOOKUP(E15,'Curve Numbers'!$A$5:$F$93,5,FALSE),IF($B$12='Curve Numbers'!$F$4,VLOOKUP(E15,'Curve Numbers'!$A$5:$F$93,6,FALSE),"UPDATE")))))</f>
        <v>89</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0</v>
      </c>
      <c r="C16" s="51" t="s">
        <v>3</v>
      </c>
      <c r="D16" s="79">
        <f>IF(ISBLANK(E16),0,IF($B$12='Curve Numbers'!$C$4,VLOOKUP(E16,'Curve Numbers'!$A$5:$F$93,3,FALSE),IF($B$12='Curve Numbers'!$D$4,VLOOKUP(E16,'Curve Numbers'!$A$5:$F$93,4,FALSE),IF($B$12='Curve Numbers'!$E$4,VLOOKUP(E16,'Curve Numbers'!$A$5:$F$93,5,FALSE),IF($B$12='Curve Numbers'!$F$4,VLOOKUP(E16,'Curve Numbers'!$A$5:$F$93,6,FALSE),"UPDATE")))))</f>
        <v>55</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70</v>
      </c>
      <c r="E17" s="182" t="s">
        <v>253</v>
      </c>
      <c r="F17" s="182"/>
      <c r="G17" s="182"/>
      <c r="H17" s="77"/>
      <c r="I17" s="77"/>
      <c r="W17" s="186" t="str">
        <f>IF(ISBLANK(E17),"",VLOOKUP(E17,'Curve Numbers'!$A$5:$F$93,2,FALSE))</f>
        <v>Average Impervious Area = 25%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92</v>
      </c>
      <c r="E18" s="182" t="s">
        <v>242</v>
      </c>
      <c r="F18" s="182"/>
      <c r="G18" s="182"/>
      <c r="H18" s="77"/>
      <c r="I18" s="77"/>
      <c r="W18" s="186" t="str">
        <f>IF(ISBLANK(E18),"",VLOOKUP(E18,'Curve Numbers'!$A$5:$F$93,2,FALSE))</f>
        <v>Average Impervious Area = 85%</v>
      </c>
      <c r="X18" s="187"/>
      <c r="Y18" s="187"/>
      <c r="Z18" s="187"/>
      <c r="AA18" s="187"/>
      <c r="AB18" s="187"/>
      <c r="AC18" s="187"/>
      <c r="AD18" s="187"/>
      <c r="AE18" s="187"/>
      <c r="AF18" s="187"/>
      <c r="AG18" s="187"/>
      <c r="AH18" s="187"/>
      <c r="AI18" s="188"/>
    </row>
    <row r="19" spans="1:35" x14ac:dyDescent="0.2">
      <c r="A19" s="77"/>
      <c r="B19" s="111">
        <v>6.42</v>
      </c>
      <c r="C19" s="51" t="s">
        <v>3</v>
      </c>
      <c r="D19" s="79">
        <f>IF(ISBLANK(E19),0,IF($B$12='Curve Numbers'!$C$4,VLOOKUP(E19,'Curve Numbers'!$A$5:$F$93,3,FALSE),IF($B$12='Curve Numbers'!$D$4,VLOOKUP(E19,'Curve Numbers'!$A$5:$F$93,4,FALSE),IF($B$12='Curve Numbers'!$E$4,VLOOKUP(E19,'Curve Numbers'!$A$5:$F$93,5,FALSE),IF($B$12='Curve Numbers'!$F$4,VLOOKUP(E19,'Curve Numbers'!$A$5:$F$93,6,FALSE),"UPDATE")))))</f>
        <v>61</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65.09574468085107</v>
      </c>
    </row>
    <row r="26" spans="1:35" ht="13.5" x14ac:dyDescent="0.25">
      <c r="A26" s="83" t="s">
        <v>94</v>
      </c>
      <c r="B26" s="83"/>
      <c r="C26" s="83"/>
    </row>
    <row r="28" spans="1:35" ht="13.5" x14ac:dyDescent="0.25">
      <c r="B28" s="75" t="s">
        <v>95</v>
      </c>
      <c r="E28" s="84">
        <f>'tc-pre'!D48</f>
        <v>0.71168329751403836</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5.3619872528190875</v>
      </c>
      <c r="F43" s="75" t="s">
        <v>85</v>
      </c>
      <c r="G43" s="77"/>
    </row>
    <row r="45" spans="1:9" ht="13.5" x14ac:dyDescent="0.25">
      <c r="C45" s="75" t="s">
        <v>97</v>
      </c>
      <c r="E45" s="87">
        <f>0.2*E43</f>
        <v>1.0723974505638176</v>
      </c>
      <c r="F45" s="75" t="s">
        <v>85</v>
      </c>
    </row>
    <row r="46" spans="1:9" x14ac:dyDescent="0.2">
      <c r="A46" s="76" t="str">
        <f>A2</f>
        <v>Lexington County I-20 Widening - Outfall #10</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5.3619872528190875</v>
      </c>
      <c r="E56" s="90" t="s">
        <v>22</v>
      </c>
      <c r="F56" s="91">
        <f>((C56-0.2*D56)^2)/(C56+0.8*D56)</f>
        <v>0.80977272685203905</v>
      </c>
      <c r="G56" s="75" t="s">
        <v>85</v>
      </c>
      <c r="H56" s="82"/>
    </row>
    <row r="57" spans="1:22" ht="14.25" customHeight="1" x14ac:dyDescent="0.2">
      <c r="B57" s="90">
        <v>10</v>
      </c>
      <c r="C57" s="86">
        <f>F36</f>
        <v>5.3</v>
      </c>
      <c r="D57" s="86">
        <f>$E$43</f>
        <v>5.3619872528190875</v>
      </c>
      <c r="E57" s="90" t="s">
        <v>22</v>
      </c>
      <c r="F57" s="91">
        <f>((C57-0.2*D57)^2)/(C57+0.8*D57)</f>
        <v>1.8637526405765594</v>
      </c>
      <c r="G57" s="75" t="s">
        <v>85</v>
      </c>
      <c r="H57" s="82"/>
    </row>
    <row r="58" spans="1:22" x14ac:dyDescent="0.2">
      <c r="B58" s="90">
        <v>25</v>
      </c>
      <c r="C58" s="86">
        <f>F37</f>
        <v>6.4</v>
      </c>
      <c r="D58" s="86">
        <f>$E$43</f>
        <v>5.3619872528190875</v>
      </c>
      <c r="E58" s="90" t="s">
        <v>22</v>
      </c>
      <c r="F58" s="91">
        <f>(C58-0.2*D58)^2/(C58+0.8*D58)</f>
        <v>2.6552327497890187</v>
      </c>
      <c r="G58" s="75" t="s">
        <v>85</v>
      </c>
      <c r="H58" s="82"/>
    </row>
    <row r="59" spans="1:22" x14ac:dyDescent="0.2">
      <c r="B59" s="90">
        <v>50</v>
      </c>
      <c r="C59" s="86">
        <f>F38</f>
        <v>7.3</v>
      </c>
      <c r="D59" s="86">
        <f>$E$43</f>
        <v>5.3619872528190875</v>
      </c>
      <c r="E59" s="90" t="s">
        <v>22</v>
      </c>
      <c r="F59" s="91">
        <f>(C59-0.2*D59)^2/(C59+0.8*D59)</f>
        <v>3.3463680920093535</v>
      </c>
      <c r="G59" s="75" t="s">
        <v>85</v>
      </c>
      <c r="H59" s="82"/>
    </row>
    <row r="60" spans="1:22" x14ac:dyDescent="0.2">
      <c r="B60" s="90">
        <v>100</v>
      </c>
      <c r="C60" s="86">
        <f>F39</f>
        <v>8.3000000000000007</v>
      </c>
      <c r="D60" s="86">
        <f>$E$43</f>
        <v>5.3619872528190875</v>
      </c>
      <c r="E60" s="90" t="s">
        <v>22</v>
      </c>
      <c r="F60" s="91">
        <f>(C60-0.2*D60)^2/(C60+0.8*D60)</f>
        <v>4.1493201472901502</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1.0723974505638176</v>
      </c>
      <c r="E66" s="86">
        <f>IF(D66/C66&gt;0.5,0.5,D66/C66)</f>
        <v>0.29788818071217155</v>
      </c>
      <c r="F66" s="91">
        <f>IF($A$63='Rainfall Distribution Coef.'!$K$2,10^(K66+(L66*LOG($E$28))+(M66*(LOG($E$28))^2)),IF($A$63='Rainfall Distribution Coef.'!$K$3,10^(N66+(O66*LOG($E$28))+(P66*(LOG($E$28))^2)),IF($A$63='Rainfall Distribution Coef.'!$K$4,10^(Q66+(R66*LOG($E$28))+(S66*(LOG($E$28))^2)),IF($A$63='Rainfall Distribution Coef.'!$K$5,10^(T66+(U66*LOG($E$28))+(V66*(LOG($E$28))^2)),"UPDATE"))))</f>
        <v>359.45460809992431</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2.1094478534982115</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-0.458129662254181</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-2.9935553921301594E-2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1.7312941397468722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-0.20067465417370303</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2.4121037024931451E-2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2.4662482501679652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-0.6224913347315284</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-0.11707113471700167</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2.3970918889252055</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-0.5120882117629969</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-0.13285525812133431</v>
      </c>
    </row>
    <row r="67" spans="1:22" ht="12.75" x14ac:dyDescent="0.2">
      <c r="B67" s="90">
        <v>10</v>
      </c>
      <c r="C67" s="86">
        <f>F36</f>
        <v>5.3</v>
      </c>
      <c r="D67" s="86">
        <f>$E$45</f>
        <v>1.0723974505638176</v>
      </c>
      <c r="E67" s="86">
        <f>IF(D67/C67&gt;0.5,0.5,D67/C67)</f>
        <v>0.20233914161581465</v>
      </c>
      <c r="F67" s="91">
        <f>IF($A$63='Rainfall Distribution Coef.'!$K$2,10^(K67+(L67*LOG($E$28))+(M67*(LOG($E$28))^2)),IF($A$63='Rainfall Distribution Coef.'!$K$3,10^(N67+(O67*LOG($E$28))+(P67*(LOG($E$28))^2)),IF($A$63='Rainfall Distribution Coef.'!$K$4,10^(Q67+(R67*LOG($E$28))+(S67*(LOG($E$28))^2)),IF($A$63='Rainfall Distribution Coef.'!$K$5,10^(T67+(U67*LOG($E$28))+(V67*(LOG($E$28))^2)),"UPDATE"))))</f>
        <v>395.02280691582683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2.2328820889774197</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-0.50298159401431364</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-8.8195281723798744E-2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1.9159737487627464</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-0.28089996272050866</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-6.8130795326650367E-2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2.508246830302769</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-0.61893213302518912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-0.13974492169456718</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2.4338257170058002</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-0.51517444572580928</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-0.15119111872392518</v>
      </c>
    </row>
    <row r="68" spans="1:22" ht="12.75" customHeight="1" x14ac:dyDescent="0.2">
      <c r="A68" s="92"/>
      <c r="B68" s="90">
        <v>25</v>
      </c>
      <c r="C68" s="86">
        <f>F37</f>
        <v>6.4</v>
      </c>
      <c r="D68" s="86">
        <f>$E$45</f>
        <v>1.0723974505638176</v>
      </c>
      <c r="E68" s="86">
        <f>IF(D68/C68&gt;0.5,0.5,D68/C68)</f>
        <v>0.16756210165059648</v>
      </c>
      <c r="F68" s="91">
        <f>IF($A$63='Rainfall Distribution Coef.'!$K$2,10^(K68+(L68*LOG($E$28))+(M68*(LOG($E$28))^2)),IF($A$63='Rainfall Distribution Coef.'!$K$3,10^(N68+(O68*LOG($E$28))+(P68*(LOG($E$28))^2)),IF($A$63='Rainfall Distribution Coef.'!$K$4,10^(Q68+(R68*LOG($E$28))+(S68*(LOG($E$28))^2)),IF($A$63='Rainfall Distribution Coef.'!$K$5,10^(T68+(U68*LOG($E$28))+(V68*(LOG($E$28))^2)),"UPDATE"))))</f>
        <v>408.82458005722526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2.2581186981124368</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-0.50725002900800786</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-9.8440731124366729E-2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1.9563439990194478</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-0.29307508416407912</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-9.2024218009478687E-2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2.5235330782194803</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-0.61763668828648466</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-0.14799751327831345</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2.4471957500204282</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-0.51629774411668583</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-0.15786483269325055</v>
      </c>
    </row>
    <row r="69" spans="1:22" ht="12.75" x14ac:dyDescent="0.2">
      <c r="B69" s="90">
        <v>50</v>
      </c>
      <c r="C69" s="86">
        <f>F38</f>
        <v>7.3</v>
      </c>
      <c r="D69" s="86">
        <f>$E$45</f>
        <v>1.0723974505638176</v>
      </c>
      <c r="E69" s="86">
        <f>IF(D69/C69&gt;0.5,0.5,D69/C69)</f>
        <v>0.14690376035120789</v>
      </c>
      <c r="F69" s="91">
        <f>IF($A$63='Rainfall Distribution Coef.'!$K$2,10^(K69+(L69*LOG($E$28))+(M69*(LOG($E$28))^2)),IF($A$63='Rainfall Distribution Coef.'!$K$3,10^(N69+(O69*LOG($E$28))+(P69*(LOG($E$28))^2)),IF($A$63='Rainfall Distribution Coef.'!$K$4,10^(Q69+(R69*LOG($E$28))+(S69*(LOG($E$28))^2)),IF($A$63='Rainfall Distribution Coef.'!$K$5,10^(T69+(U69*LOG($E$28))+(V69*(LOG($E$28))^2)),"UPDATE"))))</f>
        <v>417.25038096138974</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2.2726063928656979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-0.50940262817140414</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-0.10426844920492426</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1.9796300813321186</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-0.30003281351371319</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-0.10592315003570732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2.5326134521376269</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-0.61686716507308248</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-0.15289973766865839</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2.4551378493329783</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-0.51696500854065608</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-0.16182916838860323</v>
      </c>
    </row>
    <row r="70" spans="1:22" ht="12.75" x14ac:dyDescent="0.2">
      <c r="B70" s="90">
        <v>100</v>
      </c>
      <c r="C70" s="86">
        <f>F39</f>
        <v>8.3000000000000007</v>
      </c>
      <c r="D70" s="86">
        <f>$E$45</f>
        <v>1.0723974505638176</v>
      </c>
      <c r="E70" s="86">
        <f>IF(D70/C70&gt;0.5,0.5,D70/C70)</f>
        <v>0.12920451211612261</v>
      </c>
      <c r="F70" s="91">
        <f>IF($A$63='Rainfall Distribution Coef.'!$K$2,10^(K70+(L70*LOG($E$28))+(M70*(LOG($E$28))^2)),IF($A$63='Rainfall Distribution Coef.'!$K$3,10^(N70+(O70*LOG($E$28))+(P70*(LOG($E$28))^2)),IF($A$63='Rainfall Distribution Coef.'!$K$4,10^(Q70+(R70*LOG($E$28))+(S70*(LOG($E$28))^2)),IF($A$63='Rainfall Distribution Coef.'!$K$5,10^(T70+(U70*LOG($E$28))+(V70*(LOG($E$28))^2)),"UPDATE"))))</f>
        <v>424.60726264410795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2.285018875652963</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-0.51124688983750011</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-0.10926140713204181</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1.9995806739427067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-0.3059939203192899</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-0.1178312042482727</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2.5403931566993583</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-0.61620786807632555</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-0.15709976927484412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2.4619423253169566</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-0.51753669425864934</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-0.16522565412491608</v>
      </c>
    </row>
    <row r="71" spans="1:22" x14ac:dyDescent="0.2">
      <c r="E71" s="91"/>
    </row>
    <row r="72" spans="1:22" x14ac:dyDescent="0.2">
      <c r="A72" s="83" t="s">
        <v>90</v>
      </c>
      <c r="B72" s="83"/>
      <c r="C72" s="83"/>
    </row>
    <row r="73" spans="1:22" ht="12" customHeight="1" x14ac:dyDescent="0.2"/>
    <row r="74" spans="1:22" ht="13.5" x14ac:dyDescent="0.25">
      <c r="B74" s="172">
        <v>0</v>
      </c>
      <c r="C74" s="75" t="s">
        <v>91</v>
      </c>
      <c r="D74" s="96">
        <f>B74/D9</f>
        <v>0</v>
      </c>
      <c r="E74" s="97" t="s">
        <v>102</v>
      </c>
      <c r="F74" s="173">
        <v>1</v>
      </c>
    </row>
    <row r="76" spans="1:22" ht="12.75" x14ac:dyDescent="0.25">
      <c r="A76" s="197" t="s">
        <v>103</v>
      </c>
      <c r="B76" s="197"/>
      <c r="C76" s="197"/>
      <c r="D76" s="197"/>
      <c r="E76" s="197"/>
      <c r="F76" s="197"/>
      <c r="G76" s="197"/>
      <c r="H76" s="197"/>
      <c r="I76" s="197"/>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359.45460809992431</v>
      </c>
      <c r="D81" s="86">
        <f>$D$9/640</f>
        <v>1.175E-2</v>
      </c>
      <c r="E81" s="91">
        <f>F56</f>
        <v>0.80977272685203905</v>
      </c>
      <c r="F81" s="99">
        <f>$F$74</f>
        <v>1</v>
      </c>
      <c r="G81" s="91">
        <f>F81*E81*D81*C81</f>
        <v>3.4201493236221294</v>
      </c>
      <c r="H81" s="82" t="s">
        <v>33</v>
      </c>
    </row>
    <row r="82" spans="1:10" x14ac:dyDescent="0.2">
      <c r="B82" s="90">
        <v>10</v>
      </c>
      <c r="C82" s="91">
        <f>F67</f>
        <v>395.02280691582683</v>
      </c>
      <c r="D82" s="86">
        <f>$D$9/640</f>
        <v>1.175E-2</v>
      </c>
      <c r="E82" s="91">
        <f>F57</f>
        <v>1.8637526405765594</v>
      </c>
      <c r="F82" s="99">
        <f>$F$74</f>
        <v>1</v>
      </c>
      <c r="G82" s="91">
        <f>F82*E82*D82*C82</f>
        <v>8.6506413938587059</v>
      </c>
      <c r="H82" s="82" t="s">
        <v>33</v>
      </c>
    </row>
    <row r="83" spans="1:10" x14ac:dyDescent="0.2">
      <c r="B83" s="90">
        <v>25</v>
      </c>
      <c r="C83" s="91">
        <f>F68</f>
        <v>408.82458005722526</v>
      </c>
      <c r="D83" s="86">
        <f>$D$9/640</f>
        <v>1.175E-2</v>
      </c>
      <c r="E83" s="91">
        <f>F58</f>
        <v>2.6552327497890187</v>
      </c>
      <c r="F83" s="99">
        <f>$F$74</f>
        <v>1</v>
      </c>
      <c r="G83" s="91">
        <f>F83*E83*D83*C83</f>
        <v>12.754911863168573</v>
      </c>
      <c r="H83" s="82" t="s">
        <v>33</v>
      </c>
    </row>
    <row r="84" spans="1:10" x14ac:dyDescent="0.2">
      <c r="B84" s="90">
        <v>50</v>
      </c>
      <c r="C84" s="91">
        <f>F69</f>
        <v>417.25038096138974</v>
      </c>
      <c r="D84" s="86">
        <f>$D$9/640</f>
        <v>1.175E-2</v>
      </c>
      <c r="E84" s="91">
        <f>F59</f>
        <v>3.3463680920093535</v>
      </c>
      <c r="F84" s="99">
        <f>$F$74</f>
        <v>1</v>
      </c>
      <c r="G84" s="91">
        <f>F84*E84*D84*C84</f>
        <v>16.406211994428315</v>
      </c>
      <c r="H84" s="82" t="s">
        <v>33</v>
      </c>
    </row>
    <row r="85" spans="1:10" x14ac:dyDescent="0.2">
      <c r="B85" s="90">
        <v>100</v>
      </c>
      <c r="C85" s="91">
        <f>F70</f>
        <v>424.60726264410795</v>
      </c>
      <c r="D85" s="86">
        <f>$D$9/640</f>
        <v>1.175E-2</v>
      </c>
      <c r="E85" s="91">
        <f>F60</f>
        <v>4.1493201472901502</v>
      </c>
      <c r="F85" s="99">
        <f>$F$74</f>
        <v>1</v>
      </c>
      <c r="G85" s="91">
        <f>F85*E85*D85*C85</f>
        <v>20.701519767505278</v>
      </c>
      <c r="H85" s="82" t="s">
        <v>33</v>
      </c>
    </row>
    <row r="86" spans="1:10" x14ac:dyDescent="0.2">
      <c r="B86" s="90"/>
      <c r="C86" s="91"/>
      <c r="D86" s="86"/>
      <c r="E86" s="91"/>
      <c r="F86" s="99"/>
      <c r="G86" s="91"/>
      <c r="H86" s="82"/>
    </row>
    <row r="87" spans="1:10" ht="28.5" customHeight="1" x14ac:dyDescent="0.2">
      <c r="A87" s="180" t="s">
        <v>421</v>
      </c>
      <c r="B87" s="180"/>
      <c r="C87" s="180"/>
      <c r="D87" s="180"/>
      <c r="E87" s="180"/>
      <c r="F87" s="180"/>
      <c r="G87" s="180"/>
      <c r="H87" s="180"/>
      <c r="I87" s="169"/>
      <c r="J87" s="169"/>
    </row>
    <row r="88" spans="1:10" ht="12.75" x14ac:dyDescent="0.2">
      <c r="A88" s="100"/>
      <c r="B88" s="100"/>
      <c r="C88" s="100"/>
      <c r="D88" s="100"/>
      <c r="E88" s="100"/>
      <c r="F88" s="100"/>
      <c r="G88" s="100"/>
      <c r="H88" s="100"/>
      <c r="I88" s="100"/>
      <c r="J88" s="100"/>
    </row>
    <row r="89" spans="1:10" x14ac:dyDescent="0.2">
      <c r="A89" s="76" t="str">
        <f>A46</f>
        <v>Lexington County I-20 Widening - Outfall #10</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4" t="s">
        <v>422</v>
      </c>
      <c r="B94" s="194"/>
      <c r="C94" s="194"/>
      <c r="D94" s="194"/>
      <c r="E94" s="194"/>
      <c r="F94" s="194"/>
      <c r="G94" s="194"/>
      <c r="H94" s="194"/>
      <c r="I94" s="169"/>
      <c r="J94" s="169"/>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7.52</v>
      </c>
      <c r="E98" s="75" t="s">
        <v>114</v>
      </c>
    </row>
    <row r="99" spans="1:35" ht="12.75" customHeight="1" x14ac:dyDescent="0.2"/>
    <row r="100" spans="1:35" ht="12.75" customHeight="1" x14ac:dyDescent="0.2">
      <c r="A100" s="75" t="s">
        <v>113</v>
      </c>
      <c r="D100" s="124">
        <f>B106-B15</f>
        <v>0.79999999999999982</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224</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1.9</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89</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0</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55</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70</v>
      </c>
      <c r="E108" s="182" t="s">
        <v>253</v>
      </c>
      <c r="F108" s="182"/>
      <c r="G108" s="182"/>
      <c r="W108" s="186" t="str">
        <f>IF(ISBLANK(E108),"",VLOOKUP(E108,'Curve Numbers'!$A$5:$F$93,2,FALSE))</f>
        <v>Average Impervious Area = 25%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92</v>
      </c>
      <c r="E109" s="182" t="s">
        <v>242</v>
      </c>
      <c r="F109" s="182"/>
      <c r="G109" s="182"/>
      <c r="W109" s="186" t="str">
        <f>IF(ISBLANK(E109),"",VLOOKUP(E109,'Curve Numbers'!$A$5:$F$93,2,FALSE))</f>
        <v>Average Impervious Area = 85%</v>
      </c>
      <c r="X109" s="187"/>
      <c r="Y109" s="187"/>
      <c r="Z109" s="187"/>
      <c r="AA109" s="187"/>
      <c r="AB109" s="187"/>
      <c r="AC109" s="187"/>
      <c r="AD109" s="187"/>
      <c r="AE109" s="187"/>
      <c r="AF109" s="187"/>
      <c r="AG109" s="187"/>
      <c r="AH109" s="187"/>
      <c r="AI109" s="188"/>
    </row>
    <row r="110" spans="1:35" ht="12.75" customHeight="1" x14ac:dyDescent="0.2">
      <c r="B110" s="111">
        <v>5.62</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61</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68.074468085106375</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0.71168329751403836</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4.6897952805125822</v>
      </c>
      <c r="F134" s="75" t="s">
        <v>85</v>
      </c>
    </row>
    <row r="136" spans="1:9" ht="13.5" x14ac:dyDescent="0.25">
      <c r="C136" s="75" t="s">
        <v>97</v>
      </c>
      <c r="E136" s="87">
        <f>0.2*E134</f>
        <v>0.93795905610251651</v>
      </c>
      <c r="F136" s="75" t="s">
        <v>85</v>
      </c>
    </row>
    <row r="137" spans="1:9" s="76" customFormat="1" x14ac:dyDescent="0.2">
      <c r="A137" s="76" t="str">
        <f>A2</f>
        <v>Lexington County I-20 Widening - Outfall #10</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4.6897952805125822</v>
      </c>
      <c r="E147" s="90" t="s">
        <v>22</v>
      </c>
      <c r="F147" s="91">
        <f>((C147-0.2*D147)^2)/(C147+0.8*D147)</f>
        <v>0.96390367939068766</v>
      </c>
      <c r="G147" s="75" t="s">
        <v>85</v>
      </c>
      <c r="H147" s="82"/>
    </row>
    <row r="148" spans="1:22" x14ac:dyDescent="0.2">
      <c r="B148" s="90">
        <v>10</v>
      </c>
      <c r="C148" s="86">
        <f>F127</f>
        <v>5.3</v>
      </c>
      <c r="D148" s="86">
        <f>$E$134</f>
        <v>4.6897952805125822</v>
      </c>
      <c r="E148" s="90" t="s">
        <v>22</v>
      </c>
      <c r="F148" s="91">
        <f>((C148-0.2*D148)^2)/(C148+0.8*D148)</f>
        <v>2.1020487693896732</v>
      </c>
      <c r="G148" s="75" t="s">
        <v>85</v>
      </c>
      <c r="H148" s="82"/>
    </row>
    <row r="149" spans="1:22" x14ac:dyDescent="0.2">
      <c r="B149" s="90">
        <v>25</v>
      </c>
      <c r="C149" s="86">
        <f>F128</f>
        <v>6.4</v>
      </c>
      <c r="D149" s="86">
        <f>$E$134</f>
        <v>4.6897952805125822</v>
      </c>
      <c r="E149" s="90" t="s">
        <v>22</v>
      </c>
      <c r="F149" s="91">
        <f>(C149-0.2*D149)^2/(C149+0.8*D149)</f>
        <v>2.9387679837739098</v>
      </c>
      <c r="G149" s="75" t="s">
        <v>85</v>
      </c>
      <c r="H149" s="82"/>
    </row>
    <row r="150" spans="1:22" x14ac:dyDescent="0.2">
      <c r="B150" s="90">
        <v>50</v>
      </c>
      <c r="C150" s="86">
        <f>F129</f>
        <v>7.3</v>
      </c>
      <c r="D150" s="86">
        <f>$E$134</f>
        <v>4.6897952805125822</v>
      </c>
      <c r="E150" s="90" t="s">
        <v>22</v>
      </c>
      <c r="F150" s="91">
        <f>(C150-0.2*D150)^2/(C150+0.8*D150)</f>
        <v>3.6623384702742929</v>
      </c>
      <c r="G150" s="75" t="s">
        <v>85</v>
      </c>
      <c r="H150" s="82"/>
    </row>
    <row r="151" spans="1:22" x14ac:dyDescent="0.2">
      <c r="B151" s="90">
        <v>100</v>
      </c>
      <c r="C151" s="86">
        <f>F130</f>
        <v>8.3000000000000007</v>
      </c>
      <c r="D151" s="86">
        <f>$E$134</f>
        <v>4.6897952805125822</v>
      </c>
      <c r="E151" s="90" t="s">
        <v>22</v>
      </c>
      <c r="F151" s="91">
        <f>(C151-0.2*D151)^2/(C151+0.8*D151)</f>
        <v>4.4972107030334305</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0.93795905610251651</v>
      </c>
      <c r="E157" s="86">
        <f>IF(D157/C157&gt;0.5,0.5,D157/C157)</f>
        <v>0.26054418225069903</v>
      </c>
      <c r="F157" s="91">
        <f>IF($A$63='Rainfall Distribution Coef.'!$K$2,10^(K157+(L157*LOG($E$119))+(M157*(LOG($E$119))^2)),IF($A$63='Rainfall Distribution Coef.'!$K$3,10^(N157+(O157*LOG($E$119))+(P157*(LOG($E$119))^2)),IF($A$63='Rainfall Distribution Coef.'!$K$4,10^(Q157+(R157*LOG($E$119))+(S157*(LOG($E$119))^2)),IF($A$63='Rainfall Distribution Coef.'!$K$5,10^(T157+(U157*LOG($E$119))+(V157*(LOG($E$119))^2)),"UPDATE"))))</f>
        <v>372.95786978611761</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2.1661733871611881</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-0.47899001979475953</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-5.7973427966175169E-2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1.8148326643051862</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-0.2433737820145507</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-1.4940785365768811E-2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2.4826628046917052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-0.62110027078883845</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-0.12593286555190911</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2.4114487891337189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-0.51329442291330241</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-0.14002157142609087</v>
      </c>
    </row>
    <row r="158" spans="1:22" ht="12.75" x14ac:dyDescent="0.2">
      <c r="B158" s="90">
        <v>10</v>
      </c>
      <c r="C158" s="86">
        <f>F127</f>
        <v>5.3</v>
      </c>
      <c r="D158" s="86">
        <f>$E$136</f>
        <v>0.93795905610251651</v>
      </c>
      <c r="E158" s="86">
        <f>IF(D158/C158&gt;0.5,0.5,D158/C158)</f>
        <v>0.17697340681179557</v>
      </c>
      <c r="F158" s="91">
        <f>IF($A$63='Rainfall Distribution Coef.'!$K$2,10^(K158+(L158*LOG($E$119))+(M158*(LOG($E$119))^2)),IF($A$63='Rainfall Distribution Coef.'!$K$3,10^(N158+(O158*LOG($E$119))+(P158*(LOG($E$119))^2)),IF($A$63='Rainfall Distribution Coef.'!$K$4,10^(Q158+(R158*LOG($E$119))+(S158*(LOG($E$119))^2)),IF($A$63='Rainfall Distribution Coef.'!$K$5,10^(T158+(U158*LOG($E$119))+(V158*(LOG($E$119))^2)),"UPDATE"))))</f>
        <v>405.04266606505081</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2.251518549802888</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-0.50626937101021097</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-9.5785801938392465E-2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1.9457355758417441</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-0.28990535658578725</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-8.5692291897023931E-2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2.5193963390358753</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-0.61798725940373933</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-0.14576421056356093</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2.4435775737512051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-0.51599375895997901</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-0.15605880323281643</v>
      </c>
    </row>
    <row r="159" spans="1:22" ht="12.75" x14ac:dyDescent="0.2">
      <c r="A159" s="92"/>
      <c r="B159" s="90">
        <v>25</v>
      </c>
      <c r="C159" s="86">
        <f>F128</f>
        <v>6.4</v>
      </c>
      <c r="D159" s="86">
        <f>$E$136</f>
        <v>0.93795905610251651</v>
      </c>
      <c r="E159" s="86">
        <f>IF(D159/C159&gt;0.5,0.5,D159/C159)</f>
        <v>0.14655610251601819</v>
      </c>
      <c r="F159" s="91">
        <f>IF($A$63='Rainfall Distribution Coef.'!$K$2,10^(K159+(L159*LOG($E$119))+(M159*(LOG($E$119))^2)),IF($A$63='Rainfall Distribution Coef.'!$K$3,10^(N159+(O159*LOG($E$119))+(P159*(LOG($E$119))^2)),IF($A$63='Rainfall Distribution Coef.'!$K$4,10^(Q159+(R159*LOG($E$119))+(S159*(LOG($E$119))^2)),IF($A$63='Rainfall Distribution Coef.'!$K$5,10^(T159+(U159*LOG($E$119))+(V159*(LOG($E$119))^2)),"UPDATE"))))</f>
        <v>417.39365406169748</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2.2728502053055166</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-0.50943885411783096</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-0.10436652348023126</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1.9800219612439445</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-0.30014990467260505</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-0.10615705422722296</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2.5327662651390845</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-0.61685421481872171</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-0.15298223687294887</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2.4552715063877169</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-0.5169762378887327</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-0.16189588392717613</v>
      </c>
    </row>
    <row r="160" spans="1:22" ht="12.75" x14ac:dyDescent="0.2">
      <c r="B160" s="90">
        <v>50</v>
      </c>
      <c r="C160" s="86">
        <f>F129</f>
        <v>7.3</v>
      </c>
      <c r="D160" s="86">
        <f>$E$136</f>
        <v>0.93795905610251651</v>
      </c>
      <c r="E160" s="86">
        <f>IF(D160/C160&gt;0.5,0.5,D160/C160)</f>
        <v>0.12848754193185158</v>
      </c>
      <c r="F160" s="91">
        <f>IF($A$63='Rainfall Distribution Coef.'!$K$2,10^(K160+(L160*LOG($E$119))+(M160*(LOG($E$119))^2)),IF($A$63='Rainfall Distribution Coef.'!$K$3,10^(N160+(O160*LOG($E$119))+(P160*(LOG($E$119))^2)),IF($A$63='Rainfall Distribution Coef.'!$K$4,10^(Q160+(R160*LOG($E$119))+(S160*(LOG($E$119))^2)),IF($A$63='Rainfall Distribution Coef.'!$K$5,10^(T160+(U160*LOG($E$119))+(V160*(LOG($E$119))^2)),"UPDATE"))))</f>
        <v>424.90799739113044</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2.2855216868431922</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-0.5113215981307011</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-0.10946366442102466</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2.000388842734417</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-0.30623539587735238</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-0.11831358178825026</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2.5407083009438547</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-0.61618116093696151</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-0.15726990629957163</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2.4622179645042999</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-0.51755985239560121</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-0.16536324070327768</v>
      </c>
    </row>
    <row r="161" spans="1:22" ht="12.75" x14ac:dyDescent="0.2">
      <c r="B161" s="90">
        <v>100</v>
      </c>
      <c r="C161" s="86">
        <f>F130</f>
        <v>8.3000000000000007</v>
      </c>
      <c r="D161" s="86">
        <f>$E$136</f>
        <v>0.93795905610251651</v>
      </c>
      <c r="E161" s="86">
        <f>IF(D161/C161&gt;0.5,0.5,D161/C161)</f>
        <v>0.11300711519307427</v>
      </c>
      <c r="F161" s="91">
        <f>IF($A$63='Rainfall Distribution Coef.'!$K$2,10^(K161+(L161*LOG($E$119))+(M161*(LOG($E$119))^2)),IF($A$63='Rainfall Distribution Coef.'!$K$3,10^(N161+(O161*LOG($E$119))+(P161*(LOG($E$119))^2)),IF($A$63='Rainfall Distribution Coef.'!$K$4,10^(Q161+(R161*LOG($E$119))+(S161*(LOG($E$119))^2)),IF($A$63='Rainfall Distribution Coef.'!$K$5,10^(T161+(U161*LOG($E$119))+(V161*(LOG($E$119))^2)),"UPDATE"))))</f>
        <v>431.45349925509504</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2.2963781101150968</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-0.5129346585968817</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-0.11383069280403374</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2.0178383797543669</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-0.31144920360297257</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-0.12872881289809962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2.5475127225168843</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-0.61560451504094205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-0.16094341156468348</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2.4681694145640227</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-0.5180598701792638</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-0.16833393459444906</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372.95786978611761</v>
      </c>
      <c r="D172" s="86">
        <f>$D$98/640</f>
        <v>1.175E-2</v>
      </c>
      <c r="E172" s="91">
        <f>F147</f>
        <v>0.96390367939068766</v>
      </c>
      <c r="F172" s="99">
        <f>$F$165</f>
        <v>1</v>
      </c>
      <c r="G172" s="91">
        <f>F172*E172*D172*C172</f>
        <v>4.2240716895984827</v>
      </c>
      <c r="H172" s="82" t="s">
        <v>33</v>
      </c>
    </row>
    <row r="173" spans="1:22" x14ac:dyDescent="0.2">
      <c r="B173" s="90">
        <v>10</v>
      </c>
      <c r="C173" s="91">
        <f>F158</f>
        <v>405.04266606505081</v>
      </c>
      <c r="D173" s="86">
        <f>$D$98/640</f>
        <v>1.175E-2</v>
      </c>
      <c r="E173" s="91">
        <f>F148</f>
        <v>2.1020487693896732</v>
      </c>
      <c r="F173" s="99">
        <f>$F$165</f>
        <v>1</v>
      </c>
      <c r="G173" s="91">
        <f>F173*E173*D173*C173</f>
        <v>10.00417839359014</v>
      </c>
      <c r="H173" s="82" t="s">
        <v>33</v>
      </c>
    </row>
    <row r="174" spans="1:22" x14ac:dyDescent="0.2">
      <c r="B174" s="90">
        <v>25</v>
      </c>
      <c r="C174" s="91">
        <f>F159</f>
        <v>417.39365406169748</v>
      </c>
      <c r="D174" s="86">
        <f>$D$98/640</f>
        <v>1.175E-2</v>
      </c>
      <c r="E174" s="91">
        <f>F149</f>
        <v>2.9387679837739098</v>
      </c>
      <c r="F174" s="99">
        <f>$F$165</f>
        <v>1</v>
      </c>
      <c r="G174" s="91">
        <f>F174*E174*D174*C174</f>
        <v>14.412821509446303</v>
      </c>
      <c r="H174" s="82" t="s">
        <v>33</v>
      </c>
    </row>
    <row r="175" spans="1:22" x14ac:dyDescent="0.2">
      <c r="B175" s="90">
        <v>50</v>
      </c>
      <c r="C175" s="91">
        <f>F160</f>
        <v>424.90799739113044</v>
      </c>
      <c r="D175" s="86">
        <f>$D$98/640</f>
        <v>1.175E-2</v>
      </c>
      <c r="E175" s="91">
        <f>F150</f>
        <v>3.6623384702742929</v>
      </c>
      <c r="F175" s="99">
        <f>$F$165</f>
        <v>1</v>
      </c>
      <c r="G175" s="91">
        <f>F175*E175*D175*C175</f>
        <v>18.284843635779765</v>
      </c>
      <c r="H175" s="82" t="s">
        <v>33</v>
      </c>
    </row>
    <row r="176" spans="1:22" x14ac:dyDescent="0.2">
      <c r="B176" s="90">
        <v>100</v>
      </c>
      <c r="C176" s="91">
        <f>F161</f>
        <v>431.45349925509504</v>
      </c>
      <c r="D176" s="86">
        <f>$D$98/640</f>
        <v>1.175E-2</v>
      </c>
      <c r="E176" s="91">
        <f>F151</f>
        <v>4.4972107030334305</v>
      </c>
      <c r="F176" s="99">
        <f>$F$165</f>
        <v>1</v>
      </c>
      <c r="G176" s="91">
        <f>F176*E176*D176*C176</f>
        <v>22.798963212857064</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3.4201493236221294</v>
      </c>
      <c r="D181" s="105">
        <f>G172</f>
        <v>4.2240716895984827</v>
      </c>
      <c r="E181" s="79">
        <f>D181-C181</f>
        <v>0.80392236597635325</v>
      </c>
      <c r="F181" s="106">
        <f>E181/D181</f>
        <v>0.19031929973062786</v>
      </c>
    </row>
    <row r="182" spans="1:10" x14ac:dyDescent="0.2">
      <c r="A182" s="77"/>
      <c r="B182" s="51">
        <v>10</v>
      </c>
      <c r="C182" s="105">
        <f>G82</f>
        <v>8.6506413938587059</v>
      </c>
      <c r="D182" s="105">
        <f>G173</f>
        <v>10.00417839359014</v>
      </c>
      <c r="E182" s="79">
        <f>D182-C182</f>
        <v>1.3535369997314337</v>
      </c>
      <c r="F182" s="106">
        <f>E182/C182</f>
        <v>0.15646666392764141</v>
      </c>
    </row>
    <row r="183" spans="1:10" x14ac:dyDescent="0.2">
      <c r="A183" s="77"/>
      <c r="B183" s="175">
        <v>25</v>
      </c>
      <c r="C183" s="105">
        <f>G83</f>
        <v>12.754911863168573</v>
      </c>
      <c r="D183" s="105">
        <f>G174</f>
        <v>14.412821509446303</v>
      </c>
      <c r="E183" s="79">
        <f t="shared" ref="E183:E185" si="0">D183-C183</f>
        <v>1.6579096462777301</v>
      </c>
      <c r="F183" s="106">
        <f t="shared" ref="F183:F185" si="1">E183/C183</f>
        <v>0.12998205429119072</v>
      </c>
    </row>
    <row r="184" spans="1:10" x14ac:dyDescent="0.2">
      <c r="A184" s="77"/>
      <c r="B184" s="175">
        <v>50</v>
      </c>
      <c r="C184" s="105">
        <f>G84</f>
        <v>16.406211994428315</v>
      </c>
      <c r="D184" s="105">
        <f>G175</f>
        <v>18.284843635779765</v>
      </c>
      <c r="E184" s="79">
        <f t="shared" si="0"/>
        <v>1.8786316413514506</v>
      </c>
      <c r="F184" s="106">
        <f t="shared" si="1"/>
        <v>0.11450733673254067</v>
      </c>
    </row>
    <row r="185" spans="1:10" x14ac:dyDescent="0.2">
      <c r="A185" s="77"/>
      <c r="B185" s="51">
        <v>100</v>
      </c>
      <c r="C185" s="105">
        <f>G85</f>
        <v>20.701519767505278</v>
      </c>
      <c r="D185" s="105">
        <f>G176</f>
        <v>22.798963212857064</v>
      </c>
      <c r="E185" s="79">
        <f t="shared" si="0"/>
        <v>2.0974434453517858</v>
      </c>
      <c r="F185" s="106">
        <f t="shared" si="1"/>
        <v>0.10131833164462142</v>
      </c>
    </row>
    <row r="186" spans="1:10" ht="69" customHeight="1" x14ac:dyDescent="0.2">
      <c r="A186" s="194" t="s">
        <v>423</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zoomScaleNormal="100" workbookViewId="0">
      <selection activeCell="B60" sqref="B60"/>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8" t="s">
        <v>413</v>
      </c>
      <c r="B1" s="198"/>
      <c r="C1" s="198"/>
      <c r="D1" s="198"/>
      <c r="E1" s="171" t="s">
        <v>415</v>
      </c>
      <c r="F1" s="3" t="s">
        <v>416</v>
      </c>
    </row>
    <row r="2" spans="1:7" x14ac:dyDescent="0.2">
      <c r="A2" s="1"/>
      <c r="B2" s="1"/>
    </row>
    <row r="3" spans="1:7" x14ac:dyDescent="0.2">
      <c r="A3" s="3" t="s">
        <v>35</v>
      </c>
      <c r="B3" s="168" t="s">
        <v>418</v>
      </c>
      <c r="D3" s="3" t="s">
        <v>36</v>
      </c>
      <c r="E3" s="4"/>
    </row>
    <row r="4" spans="1:7" x14ac:dyDescent="0.2">
      <c r="A4" s="3" t="s">
        <v>37</v>
      </c>
      <c r="B4" s="122">
        <v>8</v>
      </c>
      <c r="C4" s="4" t="str">
        <f>IF(E1="Yes","",IF(E1="No","Pre-Construction","Update"))</f>
        <v>Pre-Construction</v>
      </c>
      <c r="D4" s="3" t="s">
        <v>38</v>
      </c>
      <c r="E4" s="140" t="s">
        <v>427</v>
      </c>
    </row>
    <row r="6" spans="1:7" x14ac:dyDescent="0.2">
      <c r="A6" s="198" t="s">
        <v>39</v>
      </c>
      <c r="B6" s="198"/>
      <c r="C6" s="178" t="s">
        <v>428</v>
      </c>
      <c r="D6" s="178"/>
    </row>
    <row r="7" spans="1:7" x14ac:dyDescent="0.2">
      <c r="A7" s="198" t="s">
        <v>412</v>
      </c>
      <c r="B7" s="198"/>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6" t="s">
        <v>411</v>
      </c>
      <c r="E12" s="8"/>
      <c r="F12" s="121"/>
      <c r="G12" s="8"/>
    </row>
    <row r="13" spans="1:7" x14ac:dyDescent="0.2">
      <c r="A13" s="11" t="s">
        <v>43</v>
      </c>
      <c r="D13" s="165">
        <f>VLOOKUP(D12,'Tc - Mannings n'!$C$5:$D$8,2,FALSE)</f>
        <v>0.4</v>
      </c>
      <c r="E13" s="8"/>
      <c r="F13" s="141">
        <v>0</v>
      </c>
      <c r="G13" s="8"/>
    </row>
    <row r="14" spans="1:7" x14ac:dyDescent="0.2">
      <c r="A14" s="11" t="s">
        <v>44</v>
      </c>
      <c r="D14" s="141">
        <v>100</v>
      </c>
      <c r="E14" s="13"/>
      <c r="F14" s="141">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1">
        <v>5.0000000000000001E-3</v>
      </c>
      <c r="E16" s="15"/>
      <c r="F16" s="141">
        <v>9.9999999999999995E-7</v>
      </c>
      <c r="G16" s="15"/>
    </row>
    <row r="17" spans="1:9" x14ac:dyDescent="0.2">
      <c r="A17" s="11"/>
      <c r="D17" s="11"/>
      <c r="E17" s="16"/>
      <c r="F17" s="11"/>
      <c r="G17" s="16"/>
    </row>
    <row r="18" spans="1:9" x14ac:dyDescent="0.2">
      <c r="A18" s="11" t="s">
        <v>47</v>
      </c>
      <c r="D18" s="12">
        <f>((0.007*(D13*D14)^0.8)/(((D15)^0.5)*((D16)^0.4)))</f>
        <v>0.58749852550394466</v>
      </c>
      <c r="E18" s="16"/>
      <c r="F18" s="12">
        <f>((0.007*(F13*F14)^0.8)/(((F15)^0.5)*((F16)^0.4)))</f>
        <v>0</v>
      </c>
      <c r="G18" s="16"/>
    </row>
    <row r="19" spans="1:9" x14ac:dyDescent="0.2">
      <c r="D19" s="17"/>
      <c r="E19" s="16"/>
      <c r="F19" s="17"/>
      <c r="G19" s="16"/>
    </row>
    <row r="20" spans="1:9" x14ac:dyDescent="0.2">
      <c r="D20" s="199" t="s">
        <v>48</v>
      </c>
      <c r="E20" s="200"/>
      <c r="F20" s="200"/>
      <c r="G20" s="200"/>
      <c r="H20" s="18">
        <f>D18+F18</f>
        <v>0.58749852550394466</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1">
        <v>1160</v>
      </c>
      <c r="F25" s="141">
        <v>100</v>
      </c>
    </row>
    <row r="26" spans="1:9" x14ac:dyDescent="0.2">
      <c r="A26" s="11" t="s">
        <v>54</v>
      </c>
      <c r="D26" s="141">
        <f>30/D25</f>
        <v>2.5862068965517241E-2</v>
      </c>
      <c r="E26" s="21"/>
      <c r="F26" s="141">
        <f>6.5/F25</f>
        <v>6.5000000000000002E-2</v>
      </c>
      <c r="G26" s="21"/>
      <c r="H26" s="21"/>
      <c r="I26" s="21"/>
    </row>
    <row r="27" spans="1:9" x14ac:dyDescent="0.2">
      <c r="A27" s="11" t="s">
        <v>55</v>
      </c>
      <c r="D27" s="12">
        <f>(16.1345*(D26^0.5))</f>
        <v>2.5946999540010602</v>
      </c>
      <c r="E27" s="5"/>
      <c r="F27" s="12">
        <f>(20.3282*(F26^0.5))</f>
        <v>5.1826944238108421</v>
      </c>
      <c r="G27" s="5"/>
    </row>
    <row r="28" spans="1:9" x14ac:dyDescent="0.2">
      <c r="A28" s="11"/>
      <c r="D28" s="12"/>
      <c r="E28" s="17"/>
      <c r="F28" s="12"/>
      <c r="G28" s="17"/>
    </row>
    <row r="29" spans="1:9" x14ac:dyDescent="0.2">
      <c r="A29" s="11" t="s">
        <v>56</v>
      </c>
      <c r="D29" s="12">
        <f>(D25)/((3600*(D27)))</f>
        <v>0.12418477201009366</v>
      </c>
      <c r="E29" s="17"/>
      <c r="F29" s="12">
        <f>(F25)/((3600*(F27)))</f>
        <v>5.3597174570351649E-3</v>
      </c>
      <c r="G29" s="17"/>
    </row>
    <row r="30" spans="1:9" x14ac:dyDescent="0.2">
      <c r="D30" s="17"/>
      <c r="E30" s="17"/>
      <c r="F30" s="17"/>
      <c r="G30" s="17"/>
    </row>
    <row r="31" spans="1:9" x14ac:dyDescent="0.2">
      <c r="D31" s="199" t="s">
        <v>57</v>
      </c>
      <c r="E31" s="200"/>
      <c r="F31" s="200"/>
      <c r="G31" s="200"/>
      <c r="H31" s="22">
        <f>D29</f>
        <v>0.12418477201009366</v>
      </c>
    </row>
    <row r="32" spans="1:9" x14ac:dyDescent="0.2">
      <c r="A32" s="23" t="s">
        <v>58</v>
      </c>
    </row>
    <row r="33" spans="1:8" x14ac:dyDescent="0.2">
      <c r="A33" s="2"/>
    </row>
    <row r="34" spans="1:8" x14ac:dyDescent="0.2">
      <c r="A34" s="2"/>
      <c r="C34" s="10" t="s">
        <v>41</v>
      </c>
    </row>
    <row r="35" spans="1:8" ht="13.5" x14ac:dyDescent="0.2">
      <c r="A35" s="12" t="s">
        <v>59</v>
      </c>
      <c r="D35" s="141">
        <v>1E-4</v>
      </c>
      <c r="F35" s="141">
        <v>9.9999999999999994E-12</v>
      </c>
    </row>
    <row r="36" spans="1:8" x14ac:dyDescent="0.2">
      <c r="A36" s="12" t="s">
        <v>60</v>
      </c>
      <c r="D36" s="141">
        <v>1.0000000000000001E-5</v>
      </c>
      <c r="F36" s="141">
        <v>1E-4</v>
      </c>
    </row>
    <row r="37" spans="1:8" x14ac:dyDescent="0.2">
      <c r="A37" s="12" t="s">
        <v>61</v>
      </c>
      <c r="D37" s="12">
        <f>D35/D36</f>
        <v>10</v>
      </c>
      <c r="E37" s="17"/>
      <c r="F37" s="12">
        <f>F35/F36</f>
        <v>9.9999999999999995E-8</v>
      </c>
    </row>
    <row r="38" spans="1:8" x14ac:dyDescent="0.2">
      <c r="A38" s="12" t="s">
        <v>62</v>
      </c>
      <c r="D38" s="141">
        <v>1.0000000000000001E-9</v>
      </c>
      <c r="E38" s="21"/>
      <c r="F38" s="141">
        <v>9.9999999999999995E-7</v>
      </c>
      <c r="G38" s="21"/>
    </row>
    <row r="39" spans="1:8" x14ac:dyDescent="0.2">
      <c r="A39" s="12" t="s">
        <v>63</v>
      </c>
      <c r="D39" s="141">
        <v>0.1</v>
      </c>
      <c r="E39" s="5" t="s">
        <v>64</v>
      </c>
      <c r="F39" s="141">
        <v>1E-4</v>
      </c>
      <c r="G39" s="5"/>
    </row>
    <row r="40" spans="1:8" x14ac:dyDescent="0.2">
      <c r="A40" s="12" t="s">
        <v>65</v>
      </c>
      <c r="D40" s="12">
        <f>1.49*D37^(2/3)*D38^(1/2)/D39</f>
        <v>2.1870209087568836E-3</v>
      </c>
      <c r="E40" s="5"/>
      <c r="F40" s="12">
        <f>1.49*F37^(2/3)*F38^(1/2)/F39</f>
        <v>3.2101076881475095E-4</v>
      </c>
      <c r="G40" s="5"/>
    </row>
    <row r="41" spans="1:8" x14ac:dyDescent="0.2">
      <c r="A41" s="12" t="s">
        <v>66</v>
      </c>
      <c r="D41" s="141">
        <v>0</v>
      </c>
      <c r="E41" s="5"/>
      <c r="F41" s="141">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199" t="s">
        <v>68</v>
      </c>
      <c r="E45" s="200"/>
      <c r="F45" s="200"/>
      <c r="G45" s="200"/>
      <c r="H45" s="18">
        <f>D43+F43</f>
        <v>0</v>
      </c>
    </row>
    <row r="46" spans="1:8" x14ac:dyDescent="0.2">
      <c r="D46" s="25"/>
      <c r="E46" s="26"/>
      <c r="F46" s="25"/>
      <c r="G46" s="25"/>
    </row>
    <row r="48" spans="1:8" x14ac:dyDescent="0.2">
      <c r="B48" s="1" t="s">
        <v>69</v>
      </c>
      <c r="C48" s="1"/>
      <c r="D48" s="27">
        <f>H45+H20+H31</f>
        <v>0.71168329751403836</v>
      </c>
      <c r="E48" s="1" t="s">
        <v>70</v>
      </c>
      <c r="F48" s="27">
        <f>D48*60</f>
        <v>42.700997850842299</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zoomScaleNormal="100" workbookViewId="0">
      <selection activeCell="B60" sqref="B60"/>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4" t="s">
        <v>418</v>
      </c>
      <c r="D2" s="3" t="s">
        <v>36</v>
      </c>
      <c r="E2" s="4"/>
    </row>
    <row r="3" spans="1:7" x14ac:dyDescent="0.2">
      <c r="A3" s="3" t="s">
        <v>37</v>
      </c>
      <c r="B3" s="122">
        <v>8</v>
      </c>
      <c r="C3" s="3" t="s">
        <v>112</v>
      </c>
      <c r="D3" s="3" t="s">
        <v>38</v>
      </c>
      <c r="E3" s="140" t="s">
        <v>427</v>
      </c>
    </row>
    <row r="5" spans="1:7" x14ac:dyDescent="0.2">
      <c r="A5" s="198" t="s">
        <v>39</v>
      </c>
      <c r="B5" s="198"/>
      <c r="C5" s="178" t="s">
        <v>428</v>
      </c>
      <c r="D5" s="178"/>
    </row>
    <row r="6" spans="1:7" x14ac:dyDescent="0.2">
      <c r="A6" s="198" t="s">
        <v>412</v>
      </c>
      <c r="B6" s="198"/>
      <c r="C6" s="177" t="str">
        <f>'tc-pre'!C7:D7</f>
        <v>Lexington, SC</v>
      </c>
      <c r="D6" s="177"/>
    </row>
    <row r="8" spans="1:7" x14ac:dyDescent="0.2">
      <c r="A8" s="2" t="s">
        <v>40</v>
      </c>
    </row>
    <row r="9" spans="1:7" x14ac:dyDescent="0.2">
      <c r="A9" s="2"/>
    </row>
    <row r="10" spans="1:7" x14ac:dyDescent="0.2">
      <c r="C10" s="10" t="s">
        <v>41</v>
      </c>
      <c r="D10" s="3">
        <v>1</v>
      </c>
      <c r="E10" s="8"/>
      <c r="G10" s="8"/>
    </row>
    <row r="11" spans="1:7" x14ac:dyDescent="0.2">
      <c r="A11" s="11" t="s">
        <v>42</v>
      </c>
      <c r="D11" s="166" t="s">
        <v>411</v>
      </c>
      <c r="E11" s="8"/>
      <c r="G11" s="8"/>
    </row>
    <row r="12" spans="1:7" x14ac:dyDescent="0.2">
      <c r="A12" s="11" t="s">
        <v>43</v>
      </c>
      <c r="D12" s="165">
        <f>VLOOKUP(D11,'Tc - Mannings n'!$C$5:$D$8,2,FALSE)</f>
        <v>0.4</v>
      </c>
      <c r="E12" s="8"/>
      <c r="F12" s="141">
        <v>0</v>
      </c>
      <c r="G12" s="8"/>
    </row>
    <row r="13" spans="1:7" x14ac:dyDescent="0.2">
      <c r="A13" s="11" t="s">
        <v>44</v>
      </c>
      <c r="D13" s="141">
        <v>100</v>
      </c>
      <c r="E13" s="13"/>
      <c r="F13" s="141">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1">
        <v>5.0000000000000001E-3</v>
      </c>
      <c r="E15" s="15"/>
      <c r="F15" s="141">
        <v>9.9999999999999995E-7</v>
      </c>
      <c r="G15" s="15"/>
    </row>
    <row r="16" spans="1:7" x14ac:dyDescent="0.2">
      <c r="A16" s="11"/>
      <c r="D16" s="11"/>
      <c r="E16" s="16"/>
      <c r="F16" s="11"/>
      <c r="G16" s="16"/>
    </row>
    <row r="17" spans="1:9" x14ac:dyDescent="0.2">
      <c r="A17" s="11" t="s">
        <v>47</v>
      </c>
      <c r="D17" s="12">
        <f>((0.007*(D12*D13)^0.8)/(((D14)^0.5)*((D15)^0.4)))</f>
        <v>0.58749852550394466</v>
      </c>
      <c r="E17" s="16"/>
      <c r="F17" s="12">
        <f>((0.007*(F12*F13)^0.8)/(((F14)^0.5)*((F15)^0.4)))</f>
        <v>0</v>
      </c>
      <c r="G17" s="16"/>
    </row>
    <row r="18" spans="1:9" x14ac:dyDescent="0.2">
      <c r="D18" s="17"/>
      <c r="E18" s="16"/>
      <c r="F18" s="17"/>
      <c r="G18" s="16"/>
    </row>
    <row r="19" spans="1:9" x14ac:dyDescent="0.2">
      <c r="D19" s="199" t="s">
        <v>48</v>
      </c>
      <c r="E19" s="200"/>
      <c r="F19" s="200"/>
      <c r="G19" s="200"/>
      <c r="H19" s="18">
        <f>D17+F17</f>
        <v>0.58749852550394466</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1">
        <v>1160</v>
      </c>
      <c r="F24" s="141">
        <v>130</v>
      </c>
    </row>
    <row r="25" spans="1:9" x14ac:dyDescent="0.2">
      <c r="A25" s="11" t="s">
        <v>54</v>
      </c>
      <c r="D25" s="141">
        <f>30/D24</f>
        <v>2.5862068965517241E-2</v>
      </c>
      <c r="E25" s="21"/>
      <c r="F25" s="141">
        <f>6.5/F24</f>
        <v>0.05</v>
      </c>
      <c r="G25" s="21"/>
      <c r="H25" s="21"/>
      <c r="I25" s="21"/>
    </row>
    <row r="26" spans="1:9" x14ac:dyDescent="0.2">
      <c r="A26" s="11" t="s">
        <v>55</v>
      </c>
      <c r="D26" s="12">
        <f>(16.1345*(D25^0.5))</f>
        <v>2.5946999540010602</v>
      </c>
      <c r="E26" s="5"/>
      <c r="F26" s="12">
        <f>(20.3282*(F25^0.5))</f>
        <v>4.5455237060211218</v>
      </c>
      <c r="G26" s="5"/>
    </row>
    <row r="27" spans="1:9" x14ac:dyDescent="0.2">
      <c r="A27" s="11"/>
      <c r="D27" s="12"/>
      <c r="E27" s="17"/>
      <c r="F27" s="12"/>
      <c r="G27" s="17"/>
    </row>
    <row r="28" spans="1:9" x14ac:dyDescent="0.2">
      <c r="A28" s="11" t="s">
        <v>56</v>
      </c>
      <c r="D28" s="12">
        <f>(D24)/((3600*(D26)))</f>
        <v>0.12418477201009366</v>
      </c>
      <c r="E28" s="17"/>
      <c r="F28" s="12">
        <f>(F24)/((3600*(F26)))</f>
        <v>7.9443235689822429E-3</v>
      </c>
      <c r="G28" s="17"/>
    </row>
    <row r="29" spans="1:9" x14ac:dyDescent="0.2">
      <c r="D29" s="17"/>
      <c r="E29" s="17"/>
      <c r="F29" s="17"/>
      <c r="G29" s="17"/>
    </row>
    <row r="30" spans="1:9" x14ac:dyDescent="0.2">
      <c r="D30" s="199" t="s">
        <v>57</v>
      </c>
      <c r="E30" s="200"/>
      <c r="F30" s="200"/>
      <c r="G30" s="200"/>
      <c r="H30" s="22">
        <f>D28</f>
        <v>0.12418477201009366</v>
      </c>
    </row>
    <row r="31" spans="1:9" x14ac:dyDescent="0.2">
      <c r="A31" s="23" t="s">
        <v>58</v>
      </c>
    </row>
    <row r="32" spans="1:9" x14ac:dyDescent="0.2">
      <c r="A32" s="2"/>
    </row>
    <row r="33" spans="1:8" x14ac:dyDescent="0.2">
      <c r="A33" s="2"/>
      <c r="C33" s="10" t="s">
        <v>41</v>
      </c>
    </row>
    <row r="34" spans="1:8" ht="13.5" x14ac:dyDescent="0.2">
      <c r="A34" s="12" t="s">
        <v>59</v>
      </c>
      <c r="D34" s="141">
        <v>1E-4</v>
      </c>
      <c r="F34" s="141">
        <v>9.9999999999999994E-12</v>
      </c>
    </row>
    <row r="35" spans="1:8" x14ac:dyDescent="0.2">
      <c r="A35" s="12" t="s">
        <v>60</v>
      </c>
      <c r="D35" s="141">
        <v>1.0000000000000001E-5</v>
      </c>
      <c r="F35" s="141">
        <v>1E-4</v>
      </c>
    </row>
    <row r="36" spans="1:8" x14ac:dyDescent="0.2">
      <c r="A36" s="12" t="s">
        <v>61</v>
      </c>
      <c r="D36" s="12">
        <f>D34/D35</f>
        <v>10</v>
      </c>
      <c r="E36" s="17"/>
      <c r="F36" s="12">
        <f>F34/F35</f>
        <v>9.9999999999999995E-8</v>
      </c>
    </row>
    <row r="37" spans="1:8" x14ac:dyDescent="0.2">
      <c r="A37" s="12" t="s">
        <v>62</v>
      </c>
      <c r="D37" s="141">
        <v>1.0000000000000001E-9</v>
      </c>
      <c r="E37" s="21"/>
      <c r="F37" s="141">
        <v>9.9999999999999995E-7</v>
      </c>
      <c r="G37" s="21"/>
    </row>
    <row r="38" spans="1:8" x14ac:dyDescent="0.2">
      <c r="A38" s="12" t="s">
        <v>63</v>
      </c>
      <c r="D38" s="141">
        <v>9.9999999999999995E-7</v>
      </c>
      <c r="E38" s="5" t="s">
        <v>64</v>
      </c>
      <c r="F38" s="141">
        <v>1E-4</v>
      </c>
      <c r="G38" s="5"/>
    </row>
    <row r="39" spans="1:8" x14ac:dyDescent="0.2">
      <c r="A39" s="12" t="s">
        <v>65</v>
      </c>
      <c r="D39" s="12">
        <f>1.49*D36^(2/3)*D37^(1/2)/D38</f>
        <v>218.70209087568838</v>
      </c>
      <c r="E39" s="5"/>
      <c r="F39" s="12">
        <f>1.49*F36^(2/3)*F37^(1/2)/F38</f>
        <v>3.2101076881475095E-4</v>
      </c>
      <c r="G39" s="5"/>
    </row>
    <row r="40" spans="1:8" x14ac:dyDescent="0.2">
      <c r="A40" s="12" t="s">
        <v>66</v>
      </c>
      <c r="D40" s="141">
        <v>0</v>
      </c>
      <c r="E40" s="5"/>
      <c r="F40" s="141">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199" t="s">
        <v>68</v>
      </c>
      <c r="E44" s="200"/>
      <c r="F44" s="200"/>
      <c r="G44" s="200"/>
      <c r="H44" s="18">
        <f>D42+F42</f>
        <v>0</v>
      </c>
    </row>
    <row r="45" spans="1:8" x14ac:dyDescent="0.2">
      <c r="D45" s="25"/>
      <c r="E45" s="26"/>
      <c r="F45" s="25"/>
      <c r="G45" s="25"/>
    </row>
    <row r="47" spans="1:8" x14ac:dyDescent="0.2">
      <c r="B47" s="1" t="s">
        <v>69</v>
      </c>
      <c r="C47" s="1"/>
      <c r="D47" s="27">
        <f>IF('tc-pre'!E1="Yes",'tc-pre'!D48,H44+H19+H30)</f>
        <v>0.71168329751403836</v>
      </c>
      <c r="E47" s="1" t="s">
        <v>70</v>
      </c>
      <c r="F47" s="27">
        <f>D47*60</f>
        <v>42.700997850842299</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2.6241628031980038</v>
      </c>
      <c r="H9" s="9">
        <f t="shared" ref="H9:H14" si="1">B9/(C9+$D$5)^D9</f>
        <v>2.6241628031980038</v>
      </c>
      <c r="J9" s="29"/>
      <c r="K9" s="29"/>
      <c r="L9" s="30"/>
    </row>
    <row r="10" spans="1:12" x14ac:dyDescent="0.2">
      <c r="A10" s="31">
        <v>5</v>
      </c>
      <c r="B10" s="34">
        <v>255.24329</v>
      </c>
      <c r="C10" s="30">
        <v>33.254809999999999</v>
      </c>
      <c r="D10" s="30">
        <v>1.0208900000000001</v>
      </c>
      <c r="E10" s="29"/>
      <c r="F10" s="29"/>
      <c r="G10" s="9">
        <f t="shared" si="0"/>
        <v>3.0697883084210966</v>
      </c>
      <c r="H10" s="9">
        <f t="shared" si="1"/>
        <v>3.0697883084210966</v>
      </c>
      <c r="J10" s="29"/>
      <c r="K10" s="29"/>
      <c r="L10" s="30"/>
    </row>
    <row r="11" spans="1:12" x14ac:dyDescent="0.2">
      <c r="A11" s="31">
        <v>10</v>
      </c>
      <c r="B11" s="34">
        <v>265.24779999999998</v>
      </c>
      <c r="C11" s="30">
        <v>31.742000000000001</v>
      </c>
      <c r="D11" s="30">
        <v>1.0112399999999999</v>
      </c>
      <c r="E11" s="29"/>
      <c r="F11" s="29"/>
      <c r="G11" s="35">
        <f t="shared" si="0"/>
        <v>3.3946002302380065</v>
      </c>
      <c r="H11" s="118">
        <f t="shared" si="1"/>
        <v>3.3946002302380065</v>
      </c>
      <c r="J11" s="29"/>
      <c r="K11" s="29"/>
      <c r="L11" s="30"/>
    </row>
    <row r="12" spans="1:12" x14ac:dyDescent="0.2">
      <c r="A12" s="31">
        <v>25</v>
      </c>
      <c r="B12" s="34">
        <v>278.52156000000002</v>
      </c>
      <c r="C12" s="30">
        <v>29.775359999999999</v>
      </c>
      <c r="D12" s="30">
        <v>0.99855000000000005</v>
      </c>
      <c r="E12" s="29"/>
      <c r="F12" s="29"/>
      <c r="G12" s="9">
        <f t="shared" si="0"/>
        <v>3.8668715248964416</v>
      </c>
      <c r="H12" s="9">
        <f t="shared" si="1"/>
        <v>3.8668715248964416</v>
      </c>
      <c r="J12" s="29"/>
      <c r="K12" s="29"/>
      <c r="L12" s="30"/>
    </row>
    <row r="13" spans="1:12" x14ac:dyDescent="0.2">
      <c r="A13" s="31">
        <v>50</v>
      </c>
      <c r="B13" s="34">
        <v>287.81452999999999</v>
      </c>
      <c r="C13" s="30">
        <v>28.396049999999999</v>
      </c>
      <c r="D13" s="30">
        <v>0.98965999999999998</v>
      </c>
      <c r="E13" s="29"/>
      <c r="F13" s="29"/>
      <c r="G13" s="9">
        <f t="shared" si="0"/>
        <v>4.2306713772570923</v>
      </c>
      <c r="H13" s="9">
        <f t="shared" si="1"/>
        <v>4.2306713772570923</v>
      </c>
    </row>
    <row r="14" spans="1:12" x14ac:dyDescent="0.2">
      <c r="A14" s="31">
        <v>100</v>
      </c>
      <c r="B14" s="34">
        <v>295.99399</v>
      </c>
      <c r="C14" s="30">
        <v>27.15249</v>
      </c>
      <c r="D14" s="30">
        <v>0.98175999999999997</v>
      </c>
      <c r="E14" s="29"/>
      <c r="F14" s="29"/>
      <c r="G14" s="9">
        <f t="shared" si="0"/>
        <v>4.5786008880270748</v>
      </c>
      <c r="H14" s="9">
        <f t="shared" si="1"/>
        <v>4.5786008880270748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2.7425497638189325</v>
      </c>
      <c r="H9" s="9">
        <f t="shared" ref="H9:H14" si="1">B9/(C9+$D$5)^D9</f>
        <v>2.7425497638189325</v>
      </c>
      <c r="J9" s="29"/>
      <c r="K9" s="29"/>
      <c r="L9" s="30"/>
    </row>
    <row r="10" spans="1:12" x14ac:dyDescent="0.2">
      <c r="A10" s="31">
        <v>5</v>
      </c>
      <c r="B10" s="34">
        <v>257.69540999999998</v>
      </c>
      <c r="C10" s="30">
        <v>32.880209999999998</v>
      </c>
      <c r="D10" s="30">
        <v>1.01851</v>
      </c>
      <c r="E10" s="29"/>
      <c r="F10" s="29"/>
      <c r="G10" s="9">
        <f t="shared" si="0"/>
        <v>3.147193278902968</v>
      </c>
      <c r="H10" s="9">
        <f t="shared" si="1"/>
        <v>3.147193278902968</v>
      </c>
      <c r="J10" s="29"/>
      <c r="K10" s="29"/>
      <c r="L10" s="30"/>
    </row>
    <row r="11" spans="1:12" x14ac:dyDescent="0.2">
      <c r="A11" s="31">
        <v>10</v>
      </c>
      <c r="B11" s="34">
        <v>266.94598999999999</v>
      </c>
      <c r="C11" s="30">
        <v>31.48667</v>
      </c>
      <c r="D11" s="30">
        <v>1.0096099999999999</v>
      </c>
      <c r="E11" s="29"/>
      <c r="F11" s="29"/>
      <c r="G11" s="35">
        <f t="shared" si="0"/>
        <v>3.4523736613503875</v>
      </c>
      <c r="H11" s="118">
        <f t="shared" si="1"/>
        <v>3.4523736613503875</v>
      </c>
      <c r="J11" s="29"/>
      <c r="K11" s="29"/>
      <c r="L11" s="30"/>
    </row>
    <row r="12" spans="1:12" x14ac:dyDescent="0.2">
      <c r="A12" s="31">
        <v>25</v>
      </c>
      <c r="B12" s="34">
        <v>279.19853000000001</v>
      </c>
      <c r="C12" s="30">
        <v>29.675370000000001</v>
      </c>
      <c r="D12" s="30">
        <v>0.99790000000000001</v>
      </c>
      <c r="E12" s="29"/>
      <c r="F12" s="29"/>
      <c r="G12" s="9">
        <f t="shared" si="0"/>
        <v>3.8924361384220254</v>
      </c>
      <c r="H12" s="9">
        <f t="shared" si="1"/>
        <v>3.8924361384220254</v>
      </c>
      <c r="J12" s="29"/>
      <c r="K12" s="29"/>
      <c r="L12" s="30"/>
    </row>
    <row r="13" spans="1:12" x14ac:dyDescent="0.2">
      <c r="A13" s="31">
        <v>50</v>
      </c>
      <c r="B13" s="34">
        <v>287.71203000000003</v>
      </c>
      <c r="C13" s="30">
        <v>28.41133</v>
      </c>
      <c r="D13" s="30">
        <v>0.98975000000000002</v>
      </c>
      <c r="E13" s="29"/>
      <c r="F13" s="29"/>
      <c r="G13" s="9">
        <f t="shared" si="0"/>
        <v>4.2266429413069497</v>
      </c>
      <c r="H13" s="9">
        <f t="shared" si="1"/>
        <v>4.2266429413069497</v>
      </c>
    </row>
    <row r="14" spans="1:12" x14ac:dyDescent="0.2">
      <c r="A14" s="31">
        <v>100</v>
      </c>
      <c r="B14" s="34">
        <v>295.76549999999997</v>
      </c>
      <c r="C14" s="30">
        <v>27.18778</v>
      </c>
      <c r="D14" s="30">
        <v>0.98197999999999996</v>
      </c>
      <c r="E14" s="29"/>
      <c r="F14" s="29"/>
      <c r="G14" s="9">
        <f t="shared" si="0"/>
        <v>4.5685279881193166</v>
      </c>
      <c r="H14" s="9">
        <f t="shared" si="1"/>
        <v>4.5685279881193166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42.700997850842299</v>
      </c>
      <c r="E4" s="29" t="s">
        <v>137</v>
      </c>
      <c r="F4" s="29"/>
      <c r="G4" s="29"/>
      <c r="H4" s="29"/>
      <c r="J4" s="201"/>
      <c r="K4" s="201"/>
      <c r="L4" s="201"/>
    </row>
    <row r="5" spans="1:12" x14ac:dyDescent="0.2">
      <c r="A5" s="205" t="s">
        <v>138</v>
      </c>
      <c r="B5" s="206"/>
      <c r="C5" s="206"/>
      <c r="D5" s="117">
        <f>'tc-post'!F47</f>
        <v>42.700997850842299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2.5958324899933642</v>
      </c>
      <c r="H9" s="9">
        <f t="shared" ref="H9:H14" si="1">B9/(C9+$D$5)^D9</f>
        <v>2.5958324899933642</v>
      </c>
      <c r="J9" s="29"/>
      <c r="K9" s="29"/>
      <c r="L9" s="30"/>
    </row>
    <row r="10" spans="1:12" x14ac:dyDescent="0.2">
      <c r="A10" s="31">
        <v>5</v>
      </c>
      <c r="B10" s="34">
        <v>254.34352000000001</v>
      </c>
      <c r="C10" s="30">
        <v>33.392789999999998</v>
      </c>
      <c r="D10" s="30">
        <v>1.02176</v>
      </c>
      <c r="E10" s="29"/>
      <c r="F10" s="29"/>
      <c r="G10" s="9">
        <f t="shared" si="0"/>
        <v>3.0418186303832884</v>
      </c>
      <c r="H10" s="9">
        <f t="shared" si="1"/>
        <v>3.0418186303832884</v>
      </c>
      <c r="J10" s="29"/>
      <c r="K10" s="29"/>
      <c r="L10" s="30"/>
    </row>
    <row r="11" spans="1:12" x14ac:dyDescent="0.2">
      <c r="A11" s="31">
        <v>10</v>
      </c>
      <c r="B11" s="34">
        <v>264.4948</v>
      </c>
      <c r="C11" s="30">
        <v>31.854520000000001</v>
      </c>
      <c r="D11" s="30">
        <v>1.01196</v>
      </c>
      <c r="E11" s="29"/>
      <c r="F11" s="29"/>
      <c r="G11" s="35">
        <f t="shared" si="0"/>
        <v>3.369321775590457</v>
      </c>
      <c r="H11" s="118">
        <f t="shared" si="1"/>
        <v>3.369321775590457</v>
      </c>
      <c r="J11" s="29"/>
      <c r="K11" s="29"/>
      <c r="L11" s="30"/>
    </row>
    <row r="12" spans="1:12" x14ac:dyDescent="0.2">
      <c r="A12" s="31">
        <v>25</v>
      </c>
      <c r="B12" s="34">
        <v>277.53223000000003</v>
      </c>
      <c r="C12" s="30">
        <v>29.921430000000001</v>
      </c>
      <c r="D12" s="30">
        <v>0.99948999999999999</v>
      </c>
      <c r="E12" s="29"/>
      <c r="F12" s="29"/>
      <c r="G12" s="9">
        <f t="shared" si="0"/>
        <v>3.8299385647713651</v>
      </c>
      <c r="H12" s="9">
        <f t="shared" si="1"/>
        <v>3.8299385647713651</v>
      </c>
      <c r="J12" s="29"/>
      <c r="K12" s="29"/>
      <c r="L12" s="30"/>
    </row>
    <row r="13" spans="1:12" x14ac:dyDescent="0.2">
      <c r="A13" s="31">
        <v>50</v>
      </c>
      <c r="B13" s="34">
        <v>286.92505999999997</v>
      </c>
      <c r="C13" s="30">
        <v>28.528970000000001</v>
      </c>
      <c r="D13" s="30">
        <v>0.99051</v>
      </c>
      <c r="E13" s="29"/>
      <c r="F13" s="29"/>
      <c r="G13" s="9">
        <f t="shared" si="0"/>
        <v>4.194570539692748</v>
      </c>
      <c r="H13" s="9">
        <f t="shared" si="1"/>
        <v>4.194570539692748</v>
      </c>
    </row>
    <row r="14" spans="1:12" x14ac:dyDescent="0.2">
      <c r="A14" s="31">
        <v>100</v>
      </c>
      <c r="B14" s="34">
        <v>295.10935000000001</v>
      </c>
      <c r="C14" s="30">
        <v>27.28867</v>
      </c>
      <c r="D14" s="30">
        <v>0.98262000000000005</v>
      </c>
      <c r="E14" s="29"/>
      <c r="F14" s="29"/>
      <c r="G14" s="9">
        <f t="shared" si="0"/>
        <v>4.5395805521462327</v>
      </c>
      <c r="H14" s="9">
        <f t="shared" si="1"/>
        <v>4.5395805521462327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2015-08-31T15:45:53Z</cp:lastPrinted>
  <dcterms:created xsi:type="dcterms:W3CDTF">2003-04-14T14:27:53Z</dcterms:created>
  <dcterms:modified xsi:type="dcterms:W3CDTF">2015-08-31T15:47:48Z</dcterms:modified>
</cp:coreProperties>
</file>